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5600" windowHeight="9975" tabRatio="819" firstSheet="9" activeTab="14"/>
  </bookViews>
  <sheets>
    <sheet name="1" sheetId="3" r:id="rId1"/>
    <sheet name="2" sheetId="2" r:id="rId2"/>
    <sheet name="3" sheetId="5" r:id="rId3"/>
    <sheet name="4" sheetId="4" r:id="rId4"/>
    <sheet name="5" sheetId="6" r:id="rId5"/>
    <sheet name="6" sheetId="7" r:id="rId6"/>
    <sheet name="7" sheetId="8" r:id="rId7"/>
    <sheet name="8" sheetId="10" r:id="rId8"/>
    <sheet name="9" sheetId="17" r:id="rId9"/>
    <sheet name="10" sheetId="11" r:id="rId10"/>
    <sheet name="11" sheetId="34" r:id="rId11"/>
    <sheet name="12" sheetId="14" r:id="rId12"/>
    <sheet name="13" sheetId="29" r:id="rId13"/>
    <sheet name="14" sheetId="33" r:id="rId14"/>
    <sheet name="15" sheetId="25" r:id="rId15"/>
    <sheet name="16" sheetId="26" r:id="rId16"/>
    <sheet name="17" sheetId="28" r:id="rId17"/>
    <sheet name="18" sheetId="27" r:id="rId18"/>
    <sheet name="19" sheetId="40" r:id="rId19"/>
    <sheet name="20" sheetId="30" r:id="rId20"/>
    <sheet name="21" sheetId="31" r:id="rId21"/>
    <sheet name="22" sheetId="32" r:id="rId22"/>
    <sheet name="23" sheetId="39" r:id="rId23"/>
    <sheet name="24" sheetId="12" r:id="rId24"/>
    <sheet name="25" sheetId="15" r:id="rId25"/>
    <sheet name="26" sheetId="23" r:id="rId26"/>
    <sheet name="27" sheetId="38" r:id="rId27"/>
    <sheet name="28" sheetId="24" r:id="rId28"/>
    <sheet name="29" sheetId="21" r:id="rId29"/>
    <sheet name="ورقة1" sheetId="41" r:id="rId30"/>
  </sheets>
  <definedNames>
    <definedName name="_xlnm.Print_Area" localSheetId="0">'1'!$A$1:$P$17</definedName>
    <definedName name="_xlnm.Print_Area" localSheetId="9">'10'!$A$1:$K$25</definedName>
    <definedName name="_xlnm.Print_Area" localSheetId="10">'11'!$A$1:$K$25</definedName>
    <definedName name="_xlnm.Print_Area" localSheetId="11">'12'!$A$1:$J$25</definedName>
    <definedName name="_xlnm.Print_Area" localSheetId="12">'13'!$A$1:$AD$25</definedName>
    <definedName name="_xlnm.Print_Area" localSheetId="13">'14'!$A$1:$S$25</definedName>
    <definedName name="_xlnm.Print_Area" localSheetId="14">'15'!$A$1:$U$26</definedName>
    <definedName name="_xlnm.Print_Area" localSheetId="15">'16'!$A$1:$G$25</definedName>
    <definedName name="_xlnm.Print_Area" localSheetId="16">'17'!$A$1:$L$26</definedName>
    <definedName name="_xlnm.Print_Area" localSheetId="17">'18'!$A$1:$H$26</definedName>
    <definedName name="_xlnm.Print_Area" localSheetId="18">'19'!$A$1:$Q$26</definedName>
    <definedName name="_xlnm.Print_Area" localSheetId="1">'2'!$A$1:$E$20</definedName>
    <definedName name="_xlnm.Print_Area" localSheetId="19">'20'!$A$1:$H$25</definedName>
    <definedName name="_xlnm.Print_Area" localSheetId="20">'21'!$A$1:$K$25</definedName>
    <definedName name="_xlnm.Print_Area" localSheetId="21">'22'!$A$1:$E$23</definedName>
    <definedName name="_xlnm.Print_Area" localSheetId="22">'23'!$A$1:$E$30</definedName>
    <definedName name="_xlnm.Print_Area" localSheetId="23">'24'!$A$1:$L$22</definedName>
    <definedName name="_xlnm.Print_Area" localSheetId="24">'25'!$A$1:$K$53</definedName>
    <definedName name="_xlnm.Print_Area" localSheetId="26">'27'!$A$1:$I$173</definedName>
    <definedName name="_xlnm.Print_Area" localSheetId="27">'28'!$A$1:$E$22</definedName>
    <definedName name="_xlnm.Print_Area" localSheetId="28">'29'!$A$1:$M$23</definedName>
    <definedName name="_xlnm.Print_Area" localSheetId="2">'3'!$A$1:$H$28</definedName>
    <definedName name="_xlnm.Print_Area" localSheetId="3">'4'!$A$1:$P$21</definedName>
    <definedName name="_xlnm.Print_Area" localSheetId="4">'5'!$A$1:$M$26</definedName>
    <definedName name="_xlnm.Print_Area" localSheetId="5">'6'!$A$1:$N$23</definedName>
    <definedName name="_xlnm.Print_Area" localSheetId="6">'7'!$A$1:$G$22</definedName>
    <definedName name="_xlnm.Print_Area" localSheetId="7">'8'!$A$1:$J$25</definedName>
    <definedName name="_xlnm.Print_Area" localSheetId="8">'9'!$A$1:$J$26</definedName>
  </definedNames>
  <calcPr calcId="144525"/>
  <fileRecoveryPr autoRecover="0"/>
</workbook>
</file>

<file path=xl/calcChain.xml><?xml version="1.0" encoding="utf-8"?>
<calcChain xmlns="http://schemas.openxmlformats.org/spreadsheetml/2006/main">
  <c r="Q21" i="25" l="1"/>
  <c r="L22" i="3" l="1"/>
  <c r="L20" i="3"/>
  <c r="L21" i="3"/>
  <c r="D20" i="26" l="1"/>
  <c r="F33" i="5"/>
  <c r="F32" i="5"/>
  <c r="H113" i="38" l="1"/>
  <c r="B13" i="7" l="1"/>
  <c r="C13" i="7"/>
  <c r="D13" i="7"/>
  <c r="E13" i="7"/>
  <c r="F13" i="7"/>
  <c r="G13" i="7"/>
  <c r="H13" i="7"/>
  <c r="I13" i="7"/>
  <c r="J13" i="7"/>
  <c r="K13" i="7"/>
  <c r="L13" i="7"/>
  <c r="M13" i="7"/>
  <c r="N5" i="7"/>
  <c r="N6" i="7"/>
  <c r="N7" i="7"/>
  <c r="N8" i="7"/>
  <c r="N9" i="7"/>
  <c r="N10" i="7"/>
  <c r="N11" i="7"/>
  <c r="N12" i="7"/>
  <c r="N13" i="7" l="1"/>
  <c r="M15" i="40"/>
  <c r="R6" i="33"/>
  <c r="R7" i="33"/>
  <c r="R8" i="33"/>
  <c r="R9" i="33"/>
  <c r="R10" i="33"/>
  <c r="R11" i="33"/>
  <c r="R12" i="33"/>
  <c r="R13" i="33"/>
  <c r="R14" i="33"/>
  <c r="R15" i="33"/>
  <c r="R16" i="33"/>
  <c r="R17" i="33"/>
  <c r="R18" i="33"/>
  <c r="R19" i="33"/>
  <c r="R20" i="33"/>
  <c r="R21" i="33"/>
  <c r="R5" i="33"/>
  <c r="O6" i="33"/>
  <c r="O7" i="33"/>
  <c r="O8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5" i="33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5" i="33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5" i="33"/>
  <c r="C6" i="33" l="1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5" i="33"/>
  <c r="B21" i="33"/>
  <c r="E21" i="33"/>
  <c r="H21" i="33"/>
  <c r="K21" i="33"/>
  <c r="N21" i="33"/>
  <c r="Q21" i="33"/>
  <c r="F26" i="38" l="1"/>
  <c r="G26" i="38"/>
  <c r="E26" i="38"/>
  <c r="D26" i="38"/>
  <c r="I6" i="38"/>
  <c r="I8" i="38"/>
  <c r="I9" i="38"/>
  <c r="I10" i="38"/>
  <c r="I12" i="38"/>
  <c r="I13" i="38"/>
  <c r="H10" i="5" l="1"/>
  <c r="H11" i="5"/>
  <c r="H18" i="5"/>
  <c r="H19" i="5"/>
  <c r="G5" i="5"/>
  <c r="H5" i="5" s="1"/>
  <c r="G6" i="5"/>
  <c r="H6" i="5" s="1"/>
  <c r="G7" i="5"/>
  <c r="H7" i="5" s="1"/>
  <c r="G8" i="5"/>
  <c r="H8" i="5" s="1"/>
  <c r="G9" i="5"/>
  <c r="H9" i="5" s="1"/>
  <c r="G10" i="5"/>
  <c r="G11" i="5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G19" i="5"/>
  <c r="C20" i="5"/>
  <c r="G20" i="5" s="1"/>
  <c r="H20" i="5" s="1"/>
  <c r="D20" i="5"/>
  <c r="E20" i="5"/>
  <c r="F20" i="5"/>
  <c r="E5" i="39" l="1"/>
  <c r="E6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4" i="39"/>
  <c r="C19" i="39"/>
  <c r="D19" i="39"/>
  <c r="B17" i="24" l="1"/>
  <c r="K21" i="31"/>
  <c r="J21" i="31"/>
  <c r="I21" i="31"/>
  <c r="H21" i="31"/>
  <c r="B21" i="31"/>
  <c r="C21" i="31"/>
  <c r="D21" i="31"/>
  <c r="E21" i="31"/>
  <c r="F21" i="31"/>
  <c r="B21" i="30"/>
  <c r="C21" i="30"/>
  <c r="D21" i="30"/>
  <c r="F21" i="30"/>
  <c r="G21" i="30"/>
  <c r="H21" i="30"/>
  <c r="P21" i="40"/>
  <c r="Q21" i="40"/>
  <c r="O21" i="40"/>
  <c r="H21" i="40"/>
  <c r="I21" i="40"/>
  <c r="J21" i="40"/>
  <c r="G21" i="40"/>
  <c r="C21" i="40"/>
  <c r="D21" i="40"/>
  <c r="E21" i="40"/>
  <c r="K21" i="40"/>
  <c r="L21" i="40"/>
  <c r="M21" i="40"/>
  <c r="H21" i="27"/>
  <c r="B21" i="27"/>
  <c r="C21" i="27"/>
  <c r="D21" i="27"/>
  <c r="E21" i="27"/>
  <c r="F21" i="27"/>
  <c r="G21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B13" i="27"/>
  <c r="G32" i="27"/>
  <c r="G31" i="27"/>
  <c r="K21" i="28"/>
  <c r="L21" i="28"/>
  <c r="J21" i="28"/>
  <c r="B21" i="28"/>
  <c r="C21" i="28"/>
  <c r="D21" i="28"/>
  <c r="F21" i="28"/>
  <c r="G21" i="28"/>
  <c r="H21" i="28"/>
  <c r="B20" i="26"/>
  <c r="C20" i="26"/>
  <c r="E20" i="26"/>
  <c r="F20" i="26"/>
  <c r="G20" i="26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5" i="25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5" i="25"/>
  <c r="O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5" i="25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5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5" i="25"/>
  <c r="B21" i="25"/>
  <c r="E21" i="25"/>
  <c r="H21" i="25"/>
  <c r="K21" i="25"/>
  <c r="N21" i="25"/>
  <c r="T21" i="25"/>
  <c r="H10" i="25"/>
  <c r="K10" i="33" l="1"/>
  <c r="AD21" i="29"/>
  <c r="AD5" i="29"/>
  <c r="AD6" i="29"/>
  <c r="AD7" i="29"/>
  <c r="AD8" i="29"/>
  <c r="AD9" i="29"/>
  <c r="AD10" i="29"/>
  <c r="AD11" i="29"/>
  <c r="AD12" i="29"/>
  <c r="AD13" i="29"/>
  <c r="AD14" i="29"/>
  <c r="AD15" i="29"/>
  <c r="AD16" i="29"/>
  <c r="AD17" i="29"/>
  <c r="AD18" i="29"/>
  <c r="AD19" i="29"/>
  <c r="AD20" i="29"/>
  <c r="AA21" i="29"/>
  <c r="AB21" i="29"/>
  <c r="AC21" i="29"/>
  <c r="AA6" i="29"/>
  <c r="AB6" i="29"/>
  <c r="AC6" i="29"/>
  <c r="AA7" i="29"/>
  <c r="AB7" i="29"/>
  <c r="AC7" i="29"/>
  <c r="AA8" i="29"/>
  <c r="AB8" i="29"/>
  <c r="AC8" i="29"/>
  <c r="AA9" i="29"/>
  <c r="AB9" i="29"/>
  <c r="AC9" i="29"/>
  <c r="AA10" i="29"/>
  <c r="AB10" i="29"/>
  <c r="AC10" i="29"/>
  <c r="AA11" i="29"/>
  <c r="AB11" i="29"/>
  <c r="AC11" i="29"/>
  <c r="AA12" i="29"/>
  <c r="AB12" i="29"/>
  <c r="AC12" i="29"/>
  <c r="AA13" i="29"/>
  <c r="AB13" i="29"/>
  <c r="AC13" i="29"/>
  <c r="AA14" i="29"/>
  <c r="AB14" i="29"/>
  <c r="AC14" i="29"/>
  <c r="AA15" i="29"/>
  <c r="AB15" i="29"/>
  <c r="AC15" i="29"/>
  <c r="AA16" i="29"/>
  <c r="AB16" i="29"/>
  <c r="AC16" i="29"/>
  <c r="AA17" i="29"/>
  <c r="AB17" i="29"/>
  <c r="AC17" i="29"/>
  <c r="AA18" i="29"/>
  <c r="AB18" i="29"/>
  <c r="AC18" i="29"/>
  <c r="AA19" i="29"/>
  <c r="AB19" i="29"/>
  <c r="AC19" i="29"/>
  <c r="AA20" i="29"/>
  <c r="AB20" i="29"/>
  <c r="AC20" i="29"/>
  <c r="AC5" i="29"/>
  <c r="AB5" i="29"/>
  <c r="J21" i="14"/>
  <c r="J14" i="14"/>
  <c r="J15" i="14"/>
  <c r="J16" i="14"/>
  <c r="J11" i="14"/>
  <c r="I21" i="14"/>
  <c r="G21" i="14"/>
  <c r="H21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D21" i="14"/>
  <c r="E21" i="14"/>
  <c r="F21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5" i="14"/>
  <c r="B21" i="14"/>
  <c r="K20" i="34"/>
  <c r="K19" i="34"/>
  <c r="K18" i="34"/>
  <c r="K12" i="34"/>
  <c r="K10" i="34"/>
  <c r="K9" i="34"/>
  <c r="K8" i="34"/>
  <c r="K6" i="34"/>
  <c r="K7" i="34"/>
  <c r="K11" i="34"/>
  <c r="K13" i="34"/>
  <c r="K14" i="34"/>
  <c r="K15" i="34"/>
  <c r="K16" i="34"/>
  <c r="K17" i="34"/>
  <c r="K21" i="34"/>
  <c r="G21" i="34"/>
  <c r="H21" i="34"/>
  <c r="I21" i="34"/>
  <c r="J21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5" i="34"/>
  <c r="E21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5" i="34"/>
  <c r="B21" i="34"/>
  <c r="K7" i="11"/>
  <c r="K8" i="11"/>
  <c r="K10" i="11"/>
  <c r="K11" i="11"/>
  <c r="K13" i="11"/>
  <c r="K14" i="11"/>
  <c r="K15" i="11"/>
  <c r="K16" i="11"/>
  <c r="K17" i="11"/>
  <c r="K18" i="11"/>
  <c r="K19" i="11"/>
  <c r="K20" i="11"/>
  <c r="K21" i="11"/>
  <c r="J21" i="11"/>
  <c r="G21" i="11"/>
  <c r="H21" i="11"/>
  <c r="I21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D21" i="11"/>
  <c r="E21" i="11"/>
  <c r="F21" i="11"/>
  <c r="C21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5" i="11"/>
  <c r="B21" i="11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I21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G21" i="17"/>
  <c r="H21" i="17"/>
  <c r="D21" i="17"/>
  <c r="E21" i="17"/>
  <c r="F21" i="17"/>
  <c r="C21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5" i="17"/>
  <c r="B21" i="17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I21" i="10"/>
  <c r="G21" i="10"/>
  <c r="H21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D21" i="10"/>
  <c r="E21" i="10"/>
  <c r="F21" i="10"/>
  <c r="C21" i="10"/>
  <c r="C7" i="10"/>
  <c r="C6" i="10"/>
  <c r="C5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8" i="10"/>
  <c r="B21" i="10"/>
  <c r="H5" i="30" l="1"/>
  <c r="G4" i="26" l="1"/>
  <c r="G16" i="8" l="1"/>
  <c r="D16" i="8"/>
  <c r="G15" i="8"/>
  <c r="D15" i="8"/>
  <c r="H13" i="2" l="1"/>
  <c r="I13" i="2" s="1"/>
  <c r="C13" i="2"/>
  <c r="AF15" i="3"/>
  <c r="AE13" i="3"/>
  <c r="AF13" i="3" s="1"/>
  <c r="AG13" i="3" s="1"/>
  <c r="P13" i="3" s="1"/>
  <c r="O13" i="3"/>
  <c r="AD13" i="3"/>
  <c r="D10" i="3" l="1"/>
  <c r="D11" i="3" s="1"/>
  <c r="D13" i="3" s="1"/>
  <c r="E10" i="3"/>
  <c r="E11" i="3" s="1"/>
  <c r="E13" i="3" s="1"/>
  <c r="F10" i="3"/>
  <c r="F11" i="3" s="1"/>
  <c r="F13" i="3" s="1"/>
  <c r="G10" i="3"/>
  <c r="G11" i="3" s="1"/>
  <c r="G13" i="3" s="1"/>
  <c r="H10" i="3"/>
  <c r="H11" i="3" s="1"/>
  <c r="H13" i="3" s="1"/>
  <c r="I10" i="3"/>
  <c r="I11" i="3" s="1"/>
  <c r="I13" i="3" s="1"/>
  <c r="J10" i="3"/>
  <c r="J11" i="3" s="1"/>
  <c r="J13" i="3" s="1"/>
  <c r="K10" i="3"/>
  <c r="K11" i="3" s="1"/>
  <c r="K13" i="3" s="1"/>
  <c r="L10" i="3"/>
  <c r="L11" i="3" s="1"/>
  <c r="L13" i="3" s="1"/>
  <c r="M10" i="3"/>
  <c r="M11" i="3" s="1"/>
  <c r="M13" i="3" s="1"/>
  <c r="N10" i="3"/>
  <c r="N11" i="3" s="1"/>
  <c r="N13" i="3" s="1"/>
  <c r="C10" i="3"/>
  <c r="C11" i="3" s="1"/>
  <c r="C13" i="3" s="1"/>
  <c r="AD12" i="3"/>
  <c r="AE12" i="3" s="1"/>
  <c r="AD9" i="3"/>
  <c r="AD7" i="3"/>
  <c r="AD10" i="3" l="1"/>
  <c r="AE10" i="3" s="1"/>
  <c r="O12" i="3"/>
  <c r="AF12" i="3"/>
  <c r="AE9" i="3"/>
  <c r="AD11" i="3" l="1"/>
  <c r="AE11" i="3" s="1"/>
  <c r="AG12" i="3"/>
  <c r="AF10" i="3"/>
  <c r="AG10" i="3" s="1"/>
  <c r="O10" i="3"/>
  <c r="AF9" i="3"/>
  <c r="O9" i="3"/>
  <c r="O11" i="3" l="1"/>
  <c r="AF11" i="3"/>
  <c r="AG11" i="3" s="1"/>
  <c r="P11" i="3" s="1"/>
  <c r="P12" i="3"/>
  <c r="AG9" i="3"/>
  <c r="P10" i="3"/>
  <c r="P9" i="3" l="1"/>
  <c r="K13" i="33" l="1"/>
  <c r="Q13" i="25"/>
  <c r="K13" i="25"/>
  <c r="E7" i="31" l="1"/>
  <c r="D7" i="31"/>
  <c r="F14" i="31" l="1"/>
  <c r="E14" i="31"/>
  <c r="D14" i="31"/>
  <c r="C14" i="31"/>
  <c r="G14" i="27"/>
  <c r="H14" i="27" s="1"/>
  <c r="F17" i="31" l="1"/>
  <c r="E17" i="31"/>
  <c r="H17" i="30"/>
  <c r="H17" i="25"/>
  <c r="F18" i="31"/>
  <c r="E18" i="31"/>
  <c r="D18" i="31"/>
  <c r="H18" i="33"/>
  <c r="E19" i="40"/>
  <c r="D19" i="40"/>
  <c r="C19" i="40"/>
  <c r="G18" i="26"/>
  <c r="G6" i="40" l="1"/>
  <c r="H8" i="30" l="1"/>
  <c r="H8" i="28"/>
  <c r="J8" i="29"/>
  <c r="D16" i="31"/>
  <c r="D16" i="30"/>
  <c r="M16" i="40"/>
  <c r="E16" i="40"/>
  <c r="I16" i="40" s="1"/>
  <c r="G15" i="28"/>
  <c r="D16" i="28"/>
  <c r="D15" i="30"/>
  <c r="H15" i="40"/>
  <c r="E15" i="40"/>
  <c r="P11" i="40" l="1"/>
  <c r="G9" i="27"/>
  <c r="K18" i="6" l="1"/>
  <c r="B48" i="28" l="1"/>
  <c r="C48" i="28"/>
  <c r="D48" i="28"/>
  <c r="D5" i="32" l="1"/>
  <c r="R21" i="40" l="1"/>
  <c r="S21" i="40"/>
  <c r="T21" i="40"/>
  <c r="P13" i="40"/>
  <c r="Q13" i="40"/>
  <c r="O13" i="40"/>
  <c r="H13" i="40"/>
  <c r="I13" i="40"/>
  <c r="G13" i="40"/>
  <c r="G13" i="27"/>
  <c r="M4" i="26"/>
  <c r="T9" i="25"/>
  <c r="T15" i="25"/>
  <c r="T19" i="25"/>
  <c r="E13" i="25"/>
  <c r="B21" i="29"/>
  <c r="C21" i="29"/>
  <c r="D21" i="29"/>
  <c r="G21" i="29"/>
  <c r="H21" i="29"/>
  <c r="I21" i="29"/>
  <c r="L21" i="29"/>
  <c r="M21" i="29"/>
  <c r="N21" i="29"/>
  <c r="Q21" i="29"/>
  <c r="R21" i="29"/>
  <c r="S21" i="29"/>
  <c r="V21" i="29"/>
  <c r="W21" i="29"/>
  <c r="X21" i="29"/>
  <c r="AA5" i="29"/>
  <c r="Y5" i="29"/>
  <c r="Y6" i="29"/>
  <c r="Y7" i="29"/>
  <c r="Y8" i="29"/>
  <c r="Y9" i="29"/>
  <c r="Y10" i="29"/>
  <c r="Y11" i="29"/>
  <c r="Y12" i="29"/>
  <c r="Y13" i="29"/>
  <c r="Y14" i="29"/>
  <c r="Y15" i="29"/>
  <c r="Y16" i="29"/>
  <c r="Y17" i="29"/>
  <c r="Y18" i="29"/>
  <c r="Y19" i="29"/>
  <c r="Y20" i="29"/>
  <c r="T5" i="29"/>
  <c r="T6" i="29"/>
  <c r="T7" i="29"/>
  <c r="T8" i="29"/>
  <c r="T9" i="29"/>
  <c r="T10" i="29"/>
  <c r="T11" i="29"/>
  <c r="T12" i="29"/>
  <c r="T13" i="29"/>
  <c r="T14" i="29"/>
  <c r="T15" i="29"/>
  <c r="T16" i="29"/>
  <c r="T17" i="29"/>
  <c r="T18" i="29"/>
  <c r="T19" i="29"/>
  <c r="T20" i="29"/>
  <c r="O5" i="29"/>
  <c r="O6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J5" i="29"/>
  <c r="J6" i="29"/>
  <c r="J7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13" i="33"/>
  <c r="Y21" i="29" l="1"/>
  <c r="T21" i="29"/>
  <c r="E21" i="29"/>
  <c r="J21" i="29"/>
  <c r="O21" i="29"/>
  <c r="C17" i="24" l="1"/>
  <c r="D17" i="24"/>
  <c r="E8" i="24"/>
  <c r="E9" i="24"/>
  <c r="E10" i="24"/>
  <c r="E11" i="24"/>
  <c r="E12" i="24"/>
  <c r="E13" i="24"/>
  <c r="E14" i="24"/>
  <c r="E15" i="24"/>
  <c r="E17" i="24" s="1"/>
  <c r="E16" i="24"/>
  <c r="E7" i="24"/>
  <c r="E6" i="24"/>
  <c r="E5" i="24"/>
  <c r="H14" i="38" l="1"/>
  <c r="I14" i="38" s="1"/>
  <c r="H11" i="38"/>
  <c r="I11" i="38" s="1"/>
  <c r="H7" i="38"/>
  <c r="I7" i="38" s="1"/>
  <c r="G10" i="8"/>
  <c r="K5" i="6"/>
  <c r="K6" i="6"/>
  <c r="K7" i="6"/>
  <c r="K8" i="6"/>
  <c r="K9" i="6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9" i="6"/>
  <c r="K20" i="6"/>
  <c r="H15" i="38" l="1"/>
  <c r="H12" i="2"/>
  <c r="I12" i="2" s="1"/>
  <c r="E12" i="2" s="1"/>
  <c r="AD5" i="3"/>
  <c r="AE5" i="3" l="1"/>
  <c r="O5" i="3" l="1"/>
  <c r="P15" i="40"/>
  <c r="Q15" i="40"/>
  <c r="O15" i="40"/>
  <c r="I15" i="40"/>
  <c r="G15" i="40"/>
  <c r="G15" i="27"/>
  <c r="F15" i="28"/>
  <c r="H15" i="28" s="1"/>
  <c r="D7" i="28" l="1"/>
  <c r="J6" i="14"/>
  <c r="J7" i="14"/>
  <c r="J8" i="14"/>
  <c r="J10" i="14"/>
  <c r="J12" i="14"/>
  <c r="J13" i="14"/>
  <c r="J17" i="14"/>
  <c r="J18" i="14"/>
  <c r="J19" i="14"/>
  <c r="J20" i="14"/>
  <c r="K6" i="11"/>
  <c r="Q9" i="33"/>
  <c r="K17" i="31" l="1"/>
  <c r="P17" i="40"/>
  <c r="Q17" i="40"/>
  <c r="O17" i="40"/>
  <c r="O18" i="40"/>
  <c r="G17" i="28"/>
  <c r="F17" i="28"/>
  <c r="K20" i="31" l="1"/>
  <c r="G20" i="30"/>
  <c r="H20" i="30"/>
  <c r="F20" i="30"/>
  <c r="P20" i="40"/>
  <c r="Q20" i="40"/>
  <c r="O20" i="40"/>
  <c r="H20" i="40"/>
  <c r="I20" i="40"/>
  <c r="G20" i="40"/>
  <c r="G20" i="27"/>
  <c r="G20" i="28"/>
  <c r="F20" i="28"/>
  <c r="H20" i="28" s="1"/>
  <c r="D20" i="28"/>
  <c r="B20" i="27" s="1"/>
  <c r="H20" i="25"/>
  <c r="E20" i="33"/>
  <c r="E20" i="25"/>
  <c r="B20" i="25"/>
  <c r="H20" i="27" l="1"/>
  <c r="L20" i="28"/>
  <c r="T20" i="25"/>
  <c r="G28" i="11"/>
  <c r="C19" i="26"/>
  <c r="K19" i="31"/>
  <c r="B19" i="31"/>
  <c r="C19" i="31" s="1"/>
  <c r="G19" i="30"/>
  <c r="F19" i="30"/>
  <c r="H19" i="30" s="1"/>
  <c r="P19" i="40"/>
  <c r="Q19" i="40"/>
  <c r="O19" i="40"/>
  <c r="H19" i="40"/>
  <c r="I19" i="40"/>
  <c r="G19" i="40"/>
  <c r="G19" i="27"/>
  <c r="G19" i="28"/>
  <c r="F19" i="28"/>
  <c r="D19" i="28"/>
  <c r="B19" i="27" s="1"/>
  <c r="C18" i="26"/>
  <c r="H19" i="25"/>
  <c r="E19" i="25"/>
  <c r="E19" i="33"/>
  <c r="B19" i="25"/>
  <c r="B19" i="33"/>
  <c r="B20" i="31" l="1"/>
  <c r="H19" i="27"/>
  <c r="L19" i="28"/>
  <c r="Q19" i="33"/>
  <c r="D19" i="31"/>
  <c r="E19" i="26"/>
  <c r="G19" i="26" s="1"/>
  <c r="E18" i="26"/>
  <c r="E19" i="31"/>
  <c r="K13" i="31"/>
  <c r="H13" i="30"/>
  <c r="F13" i="28"/>
  <c r="D13" i="28"/>
  <c r="H13" i="27" s="1"/>
  <c r="H13" i="28" l="1"/>
  <c r="L13" i="28" s="1"/>
  <c r="C20" i="31"/>
  <c r="D20" i="31"/>
  <c r="E20" i="31"/>
  <c r="F19" i="31"/>
  <c r="B18" i="26"/>
  <c r="N13" i="25"/>
  <c r="H13" i="25"/>
  <c r="B13" i="25"/>
  <c r="T13" i="25" l="1"/>
  <c r="F20" i="31"/>
  <c r="G17" i="30"/>
  <c r="F17" i="30"/>
  <c r="H17" i="40"/>
  <c r="I17" i="40"/>
  <c r="G17" i="40"/>
  <c r="G17" i="27"/>
  <c r="H17" i="27" s="1"/>
  <c r="D17" i="28"/>
  <c r="L17" i="28" s="1"/>
  <c r="K17" i="25"/>
  <c r="K17" i="33"/>
  <c r="Q17" i="25"/>
  <c r="H17" i="33"/>
  <c r="E17" i="25"/>
  <c r="E17" i="33"/>
  <c r="E15" i="33"/>
  <c r="B17" i="25"/>
  <c r="B17" i="33"/>
  <c r="K15" i="31"/>
  <c r="B15" i="31"/>
  <c r="D15" i="31" s="1"/>
  <c r="G15" i="30"/>
  <c r="F15" i="30"/>
  <c r="H15" i="30" s="1"/>
  <c r="D15" i="28"/>
  <c r="L15" i="28" s="1"/>
  <c r="C14" i="26"/>
  <c r="N15" i="25"/>
  <c r="N15" i="33"/>
  <c r="K15" i="25"/>
  <c r="K15" i="33"/>
  <c r="Q15" i="25"/>
  <c r="H15" i="25"/>
  <c r="H15" i="33"/>
  <c r="E15" i="25"/>
  <c r="B15" i="25"/>
  <c r="B15" i="33"/>
  <c r="C12" i="26" l="1"/>
  <c r="B13" i="31"/>
  <c r="T17" i="25"/>
  <c r="B17" i="27"/>
  <c r="B15" i="27"/>
  <c r="H15" i="27" s="1"/>
  <c r="Q15" i="33"/>
  <c r="Q17" i="33"/>
  <c r="G14" i="26"/>
  <c r="E15" i="31"/>
  <c r="E14" i="26"/>
  <c r="C15" i="31"/>
  <c r="K18" i="31"/>
  <c r="G18" i="30"/>
  <c r="F18" i="30"/>
  <c r="P18" i="40"/>
  <c r="Q18" i="40"/>
  <c r="H18" i="40"/>
  <c r="I18" i="40"/>
  <c r="G18" i="40"/>
  <c r="G18" i="27"/>
  <c r="G18" i="28"/>
  <c r="F18" i="28"/>
  <c r="H18" i="28" s="1"/>
  <c r="D18" i="28"/>
  <c r="B18" i="27" s="1"/>
  <c r="N18" i="25"/>
  <c r="N18" i="33"/>
  <c r="H18" i="25"/>
  <c r="E18" i="25"/>
  <c r="E18" i="33"/>
  <c r="B18" i="25"/>
  <c r="C13" i="31" l="1"/>
  <c r="D13" i="31"/>
  <c r="E13" i="31"/>
  <c r="E12" i="26"/>
  <c r="G12" i="26" s="1"/>
  <c r="B17" i="31"/>
  <c r="C16" i="26"/>
  <c r="E16" i="26" s="1"/>
  <c r="G16" i="26" s="1"/>
  <c r="H18" i="27"/>
  <c r="L18" i="28"/>
  <c r="T18" i="25"/>
  <c r="B16" i="26"/>
  <c r="B14" i="26"/>
  <c r="F15" i="31"/>
  <c r="K16" i="31"/>
  <c r="G16" i="30"/>
  <c r="F16" i="30"/>
  <c r="P16" i="40"/>
  <c r="Q16" i="40"/>
  <c r="O16" i="40"/>
  <c r="H16" i="40"/>
  <c r="G16" i="40"/>
  <c r="G16" i="27"/>
  <c r="G16" i="28"/>
  <c r="F16" i="28"/>
  <c r="N16" i="25"/>
  <c r="K16" i="25"/>
  <c r="K16" i="33"/>
  <c r="H16" i="25"/>
  <c r="H16" i="33"/>
  <c r="E16" i="25"/>
  <c r="E16" i="33"/>
  <c r="B16" i="25"/>
  <c r="F13" i="31" l="1"/>
  <c r="C17" i="31"/>
  <c r="D17" i="31"/>
  <c r="C17" i="26"/>
  <c r="E17" i="26" s="1"/>
  <c r="G17" i="26" s="1"/>
  <c r="B18" i="31"/>
  <c r="H16" i="28"/>
  <c r="L16" i="28" s="1"/>
  <c r="H16" i="30"/>
  <c r="B16" i="27"/>
  <c r="H16" i="27" s="1"/>
  <c r="T16" i="25"/>
  <c r="K14" i="31"/>
  <c r="G14" i="30"/>
  <c r="F14" i="30"/>
  <c r="P14" i="40"/>
  <c r="Q14" i="40"/>
  <c r="O14" i="40"/>
  <c r="H14" i="40"/>
  <c r="I14" i="40"/>
  <c r="G14" i="40"/>
  <c r="G14" i="28"/>
  <c r="F14" i="28"/>
  <c r="D14" i="28"/>
  <c r="B14" i="27" s="1"/>
  <c r="N14" i="25"/>
  <c r="K14" i="25"/>
  <c r="K14" i="33"/>
  <c r="H14" i="25"/>
  <c r="H14" i="33"/>
  <c r="E14" i="25"/>
  <c r="E14" i="33"/>
  <c r="B14" i="25"/>
  <c r="H14" i="28" l="1"/>
  <c r="L14" i="28" s="1"/>
  <c r="T14" i="25"/>
  <c r="C18" i="31"/>
  <c r="C15" i="26"/>
  <c r="K5" i="31"/>
  <c r="G5" i="30"/>
  <c r="F5" i="30"/>
  <c r="P5" i="40"/>
  <c r="Q5" i="40"/>
  <c r="O5" i="40"/>
  <c r="H5" i="40"/>
  <c r="I5" i="40"/>
  <c r="G5" i="40"/>
  <c r="G5" i="27"/>
  <c r="G5" i="28"/>
  <c r="F5" i="28"/>
  <c r="D5" i="28"/>
  <c r="B5" i="27" s="1"/>
  <c r="K5" i="25"/>
  <c r="K5" i="33"/>
  <c r="E5" i="25"/>
  <c r="B5" i="25"/>
  <c r="E5" i="33"/>
  <c r="H5" i="27" l="1"/>
  <c r="T5" i="25"/>
  <c r="B14" i="31"/>
  <c r="C13" i="26"/>
  <c r="L5" i="28"/>
  <c r="B16" i="31"/>
  <c r="E15" i="26"/>
  <c r="G15" i="26" s="1"/>
  <c r="K12" i="31"/>
  <c r="G12" i="30"/>
  <c r="F12" i="30"/>
  <c r="P12" i="40"/>
  <c r="Q12" i="40"/>
  <c r="O12" i="40"/>
  <c r="H12" i="40"/>
  <c r="I12" i="40"/>
  <c r="G12" i="40"/>
  <c r="G12" i="27"/>
  <c r="G12" i="28"/>
  <c r="F12" i="28"/>
  <c r="D12" i="28"/>
  <c r="B12" i="27" s="1"/>
  <c r="E12" i="25"/>
  <c r="E12" i="33"/>
  <c r="B12" i="25"/>
  <c r="B5" i="31" l="1"/>
  <c r="C4" i="26"/>
  <c r="E4" i="26" s="1"/>
  <c r="H12" i="27"/>
  <c r="H12" i="28"/>
  <c r="L12" i="28" s="1"/>
  <c r="T12" i="25"/>
  <c r="E13" i="26"/>
  <c r="G13" i="26"/>
  <c r="E16" i="31"/>
  <c r="C16" i="31"/>
  <c r="F16" i="31" s="1"/>
  <c r="G11" i="30"/>
  <c r="F11" i="30"/>
  <c r="H11" i="30" s="1"/>
  <c r="Q11" i="40"/>
  <c r="O11" i="40"/>
  <c r="H11" i="40"/>
  <c r="I11" i="40"/>
  <c r="G11" i="40"/>
  <c r="G11" i="27"/>
  <c r="G11" i="28"/>
  <c r="F11" i="28"/>
  <c r="D11" i="28"/>
  <c r="B11" i="27" s="1"/>
  <c r="K11" i="25"/>
  <c r="N11" i="25"/>
  <c r="K11" i="33"/>
  <c r="H11" i="25"/>
  <c r="H11" i="33"/>
  <c r="E11" i="25"/>
  <c r="E11" i="33"/>
  <c r="B11" i="25"/>
  <c r="E5" i="31" l="1"/>
  <c r="C5" i="31"/>
  <c r="C11" i="26"/>
  <c r="B12" i="31"/>
  <c r="H11" i="27"/>
  <c r="T11" i="25"/>
  <c r="H11" i="28"/>
  <c r="L11" i="28" s="1"/>
  <c r="K10" i="31"/>
  <c r="G10" i="30"/>
  <c r="F10" i="30"/>
  <c r="H10" i="30" s="1"/>
  <c r="P10" i="40"/>
  <c r="Q10" i="40"/>
  <c r="O10" i="40"/>
  <c r="H10" i="40"/>
  <c r="I10" i="40"/>
  <c r="G10" i="40"/>
  <c r="G10" i="27"/>
  <c r="G10" i="28"/>
  <c r="F10" i="28"/>
  <c r="D10" i="28"/>
  <c r="B10" i="27" s="1"/>
  <c r="N10" i="25"/>
  <c r="N10" i="33"/>
  <c r="E10" i="25"/>
  <c r="E10" i="33"/>
  <c r="B10" i="25"/>
  <c r="B10" i="33"/>
  <c r="O7" i="40"/>
  <c r="P7" i="40"/>
  <c r="Q7" i="40"/>
  <c r="O8" i="40"/>
  <c r="P8" i="40"/>
  <c r="Q8" i="40"/>
  <c r="P6" i="40"/>
  <c r="Q6" i="40"/>
  <c r="O6" i="40"/>
  <c r="G7" i="40"/>
  <c r="H7" i="40"/>
  <c r="I7" i="40"/>
  <c r="G8" i="40"/>
  <c r="H8" i="40"/>
  <c r="I8" i="40"/>
  <c r="H6" i="40"/>
  <c r="I6" i="40"/>
  <c r="H10" i="27" l="1"/>
  <c r="H10" i="28"/>
  <c r="T10" i="25"/>
  <c r="D12" i="31"/>
  <c r="E12" i="31"/>
  <c r="C12" i="31"/>
  <c r="F12" i="31" s="1"/>
  <c r="E11" i="26"/>
  <c r="G11" i="26" s="1"/>
  <c r="B11" i="31"/>
  <c r="C10" i="26"/>
  <c r="E10" i="26" s="1"/>
  <c r="G10" i="26" s="1"/>
  <c r="L10" i="28"/>
  <c r="Q10" i="33"/>
  <c r="G7" i="30"/>
  <c r="F7" i="30"/>
  <c r="H7" i="30" s="1"/>
  <c r="G7" i="27"/>
  <c r="B7" i="27"/>
  <c r="G7" i="28"/>
  <c r="F7" i="28"/>
  <c r="N7" i="25"/>
  <c r="K7" i="25"/>
  <c r="K7" i="33"/>
  <c r="H7" i="25"/>
  <c r="E7" i="25"/>
  <c r="E7" i="33"/>
  <c r="B7" i="25"/>
  <c r="B7" i="33"/>
  <c r="C9" i="26" l="1"/>
  <c r="B10" i="31"/>
  <c r="H7" i="27"/>
  <c r="H7" i="28"/>
  <c r="L7" i="28" s="1"/>
  <c r="T7" i="25"/>
  <c r="D11" i="31"/>
  <c r="E11" i="31"/>
  <c r="C11" i="31"/>
  <c r="F11" i="31" s="1"/>
  <c r="B9" i="26"/>
  <c r="K8" i="31"/>
  <c r="G8" i="30"/>
  <c r="F8" i="30"/>
  <c r="G8" i="28"/>
  <c r="F8" i="28"/>
  <c r="D8" i="28"/>
  <c r="B8" i="27" s="1"/>
  <c r="N8" i="25"/>
  <c r="K8" i="25"/>
  <c r="H8" i="25"/>
  <c r="E8" i="25"/>
  <c r="B8" i="25"/>
  <c r="H8" i="33"/>
  <c r="E8" i="33"/>
  <c r="E9" i="26" l="1"/>
  <c r="G9" i="26"/>
  <c r="D10" i="31"/>
  <c r="E10" i="31"/>
  <c r="C10" i="31"/>
  <c r="C6" i="26"/>
  <c r="L8" i="28"/>
  <c r="G8" i="27"/>
  <c r="H8" i="27" s="1"/>
  <c r="T8" i="25"/>
  <c r="K6" i="31"/>
  <c r="G6" i="30"/>
  <c r="F6" i="30"/>
  <c r="G6" i="27"/>
  <c r="G6" i="28"/>
  <c r="F6" i="28"/>
  <c r="D6" i="28"/>
  <c r="B6" i="27" s="1"/>
  <c r="N6" i="25"/>
  <c r="K6" i="25"/>
  <c r="H6" i="25"/>
  <c r="E6" i="25"/>
  <c r="B6" i="25"/>
  <c r="K6" i="33"/>
  <c r="H6" i="33"/>
  <c r="E6" i="33"/>
  <c r="F10" i="31" l="1"/>
  <c r="E6" i="26"/>
  <c r="G6" i="26" s="1"/>
  <c r="B7" i="31"/>
  <c r="C7" i="31" s="1"/>
  <c r="H6" i="28"/>
  <c r="L6" i="28"/>
  <c r="T6" i="25"/>
  <c r="H6" i="27"/>
  <c r="C7" i="26"/>
  <c r="B8" i="31"/>
  <c r="F7" i="31"/>
  <c r="K9" i="31"/>
  <c r="G9" i="30"/>
  <c r="F9" i="28"/>
  <c r="D9" i="28"/>
  <c r="C8" i="26"/>
  <c r="B8" i="26"/>
  <c r="B6" i="31" l="1"/>
  <c r="C5" i="26"/>
  <c r="B9" i="27"/>
  <c r="H9" i="28"/>
  <c r="E7" i="26"/>
  <c r="G7" i="26" s="1"/>
  <c r="D8" i="31"/>
  <c r="C8" i="31"/>
  <c r="E8" i="31"/>
  <c r="B9" i="31"/>
  <c r="E8" i="26"/>
  <c r="G8" i="26" s="1"/>
  <c r="C9" i="27" s="1"/>
  <c r="H9" i="27" s="1"/>
  <c r="E9" i="31"/>
  <c r="D9" i="31"/>
  <c r="C9" i="31"/>
  <c r="E5" i="26" l="1"/>
  <c r="G5" i="26" s="1"/>
  <c r="D6" i="31"/>
  <c r="E6" i="31"/>
  <c r="C6" i="31"/>
  <c r="B9" i="30"/>
  <c r="C9" i="40"/>
  <c r="F8" i="31"/>
  <c r="F9" i="31"/>
  <c r="D10" i="8"/>
  <c r="F6" i="31" l="1"/>
  <c r="E9" i="40"/>
  <c r="K9" i="40"/>
  <c r="G9" i="40"/>
  <c r="F9" i="30"/>
  <c r="D9" i="30"/>
  <c r="I53" i="7"/>
  <c r="H53" i="7"/>
  <c r="G53" i="7"/>
  <c r="F53" i="7"/>
  <c r="E53" i="7"/>
  <c r="D53" i="7"/>
  <c r="C53" i="7"/>
  <c r="B53" i="7"/>
  <c r="H9" i="30" l="1"/>
  <c r="M9" i="40"/>
  <c r="Q9" i="40" s="1"/>
  <c r="O9" i="40"/>
  <c r="I9" i="40"/>
  <c r="H10" i="8"/>
  <c r="H11" i="2" l="1"/>
  <c r="J21" i="30" l="1"/>
  <c r="D45" i="27"/>
  <c r="K21" i="30" l="1"/>
  <c r="H57" i="38" l="1"/>
  <c r="H137" i="38" l="1"/>
  <c r="H139" i="38"/>
  <c r="H140" i="38"/>
  <c r="H141" i="38"/>
  <c r="H143" i="38"/>
  <c r="H144" i="38"/>
  <c r="H147" i="38"/>
  <c r="H148" i="38"/>
  <c r="H150" i="38"/>
  <c r="H151" i="38"/>
  <c r="H152" i="38"/>
  <c r="H154" i="38"/>
  <c r="H155" i="38"/>
  <c r="H158" i="38"/>
  <c r="H159" i="38"/>
  <c r="H161" i="38"/>
  <c r="H162" i="38"/>
  <c r="H163" i="38"/>
  <c r="H165" i="38"/>
  <c r="H136" i="38"/>
  <c r="H93" i="38"/>
  <c r="H95" i="38"/>
  <c r="H96" i="38"/>
  <c r="H97" i="38"/>
  <c r="H99" i="38"/>
  <c r="H100" i="38"/>
  <c r="H114" i="38"/>
  <c r="H115" i="38"/>
  <c r="H117" i="38"/>
  <c r="H118" i="38"/>
  <c r="H119" i="38"/>
  <c r="H121" i="38"/>
  <c r="H122" i="38"/>
  <c r="H92" i="38"/>
  <c r="H50" i="38"/>
  <c r="H52" i="38"/>
  <c r="H53" i="38"/>
  <c r="H54" i="38"/>
  <c r="H56" i="38"/>
  <c r="H60" i="38"/>
  <c r="H61" i="38"/>
  <c r="H63" i="38"/>
  <c r="H64" i="38"/>
  <c r="H65" i="38"/>
  <c r="H67" i="38"/>
  <c r="H68" i="38"/>
  <c r="H71" i="38"/>
  <c r="H72" i="38"/>
  <c r="H74" i="38"/>
  <c r="H75" i="38"/>
  <c r="H76" i="38"/>
  <c r="H78" i="38"/>
  <c r="H79" i="38"/>
  <c r="H49" i="38"/>
  <c r="H16" i="38"/>
  <c r="H17" i="38"/>
  <c r="I17" i="38" s="1"/>
  <c r="H19" i="38"/>
  <c r="I19" i="38" s="1"/>
  <c r="H20" i="38"/>
  <c r="I20" i="38" s="1"/>
  <c r="H21" i="38"/>
  <c r="I21" i="38" s="1"/>
  <c r="H23" i="38"/>
  <c r="I23" i="38" s="1"/>
  <c r="H24" i="38"/>
  <c r="I24" i="38" s="1"/>
  <c r="H27" i="38"/>
  <c r="H28" i="38"/>
  <c r="H30" i="38"/>
  <c r="H31" i="38"/>
  <c r="H32" i="38"/>
  <c r="H34" i="38"/>
  <c r="H35" i="38"/>
  <c r="H142" i="38"/>
  <c r="H22" i="38"/>
  <c r="I22" i="38" s="1"/>
  <c r="H138" i="38"/>
  <c r="H80" i="38"/>
  <c r="H58" i="38"/>
  <c r="G168" i="38" l="1"/>
  <c r="H164" i="38"/>
  <c r="H160" i="38"/>
  <c r="I160" i="38" s="1"/>
  <c r="H156" i="38"/>
  <c r="H153" i="38"/>
  <c r="G157" i="38"/>
  <c r="H149" i="38"/>
  <c r="H123" i="38"/>
  <c r="G124" i="38"/>
  <c r="H120" i="38"/>
  <c r="I120" i="38" s="1"/>
  <c r="G113" i="38"/>
  <c r="F113" i="38"/>
  <c r="H101" i="38"/>
  <c r="H98" i="38"/>
  <c r="G102" i="38"/>
  <c r="H94" i="38"/>
  <c r="H77" i="38"/>
  <c r="G81" i="38"/>
  <c r="F81" i="38"/>
  <c r="H69" i="38"/>
  <c r="G70" i="38"/>
  <c r="H66" i="38"/>
  <c r="H62" i="38"/>
  <c r="H55" i="38"/>
  <c r="G59" i="38"/>
  <c r="F59" i="38"/>
  <c r="H36" i="38"/>
  <c r="H33" i="38"/>
  <c r="G37" i="38"/>
  <c r="F37" i="38"/>
  <c r="H25" i="38"/>
  <c r="I25" i="38" s="1"/>
  <c r="G15" i="38"/>
  <c r="I15" i="38" s="1"/>
  <c r="F124" i="38"/>
  <c r="H124" i="38" s="1"/>
  <c r="H18" i="38"/>
  <c r="H73" i="38"/>
  <c r="I73" i="38" s="1"/>
  <c r="H51" i="38"/>
  <c r="H59" i="38" s="1"/>
  <c r="I59" i="38" s="1"/>
  <c r="I105" i="38"/>
  <c r="F146" i="38"/>
  <c r="F157" i="38"/>
  <c r="F168" i="38"/>
  <c r="I168" i="38" s="1"/>
  <c r="H29" i="38"/>
  <c r="I29" i="38" s="1"/>
  <c r="F70" i="38"/>
  <c r="H70" i="38" s="1"/>
  <c r="I70" i="38" s="1"/>
  <c r="F102" i="38"/>
  <c r="H145" i="38"/>
  <c r="I145" i="38" s="1"/>
  <c r="G146" i="38"/>
  <c r="H146" i="38" s="1"/>
  <c r="I146" i="38" s="1"/>
  <c r="H116" i="38"/>
  <c r="F15" i="38"/>
  <c r="I137" i="38"/>
  <c r="I138" i="38"/>
  <c r="I139" i="38"/>
  <c r="I140" i="38"/>
  <c r="I141" i="38"/>
  <c r="I142" i="38"/>
  <c r="I143" i="38"/>
  <c r="I144" i="38"/>
  <c r="I147" i="38"/>
  <c r="I148" i="38"/>
  <c r="I149" i="38"/>
  <c r="I150" i="38"/>
  <c r="I151" i="38"/>
  <c r="I152" i="38"/>
  <c r="I153" i="38"/>
  <c r="I154" i="38"/>
  <c r="I155" i="38"/>
  <c r="I156" i="38"/>
  <c r="I158" i="38"/>
  <c r="I159" i="38"/>
  <c r="I161" i="38"/>
  <c r="I162" i="38"/>
  <c r="I163" i="38"/>
  <c r="I164" i="38"/>
  <c r="I165" i="38"/>
  <c r="I166" i="38"/>
  <c r="I167" i="38"/>
  <c r="I136" i="38"/>
  <c r="I93" i="38"/>
  <c r="I94" i="38"/>
  <c r="I95" i="38"/>
  <c r="I96" i="38"/>
  <c r="I97" i="38"/>
  <c r="I98" i="38"/>
  <c r="I99" i="38"/>
  <c r="I100" i="38"/>
  <c r="I101" i="38"/>
  <c r="I103" i="38"/>
  <c r="I104" i="38"/>
  <c r="I106" i="38"/>
  <c r="I107" i="38"/>
  <c r="I108" i="38"/>
  <c r="I109" i="38"/>
  <c r="I110" i="38"/>
  <c r="I111" i="38"/>
  <c r="I112" i="38"/>
  <c r="I114" i="38"/>
  <c r="I115" i="38"/>
  <c r="I116" i="38"/>
  <c r="I117" i="38"/>
  <c r="I118" i="38"/>
  <c r="I119" i="38"/>
  <c r="I121" i="38"/>
  <c r="I122" i="38"/>
  <c r="I123" i="38"/>
  <c r="I92" i="38"/>
  <c r="I50" i="38"/>
  <c r="I51" i="38"/>
  <c r="I52" i="38"/>
  <c r="I53" i="38"/>
  <c r="I54" i="38"/>
  <c r="I55" i="38"/>
  <c r="I56" i="38"/>
  <c r="I57" i="38"/>
  <c r="I58" i="38"/>
  <c r="I60" i="38"/>
  <c r="I61" i="38"/>
  <c r="I62" i="38"/>
  <c r="I63" i="38"/>
  <c r="I64" i="38"/>
  <c r="I65" i="38"/>
  <c r="I66" i="38"/>
  <c r="I67" i="38"/>
  <c r="I68" i="38"/>
  <c r="I69" i="38"/>
  <c r="I71" i="38"/>
  <c r="I72" i="38"/>
  <c r="I74" i="38"/>
  <c r="I75" i="38"/>
  <c r="I76" i="38"/>
  <c r="I77" i="38"/>
  <c r="I78" i="38"/>
  <c r="I79" i="38"/>
  <c r="I80" i="38"/>
  <c r="I49" i="38"/>
  <c r="I27" i="38"/>
  <c r="I28" i="38"/>
  <c r="I30" i="38"/>
  <c r="I31" i="38"/>
  <c r="I32" i="38"/>
  <c r="I33" i="38"/>
  <c r="I34" i="38"/>
  <c r="I35" i="38"/>
  <c r="I36" i="38"/>
  <c r="I16" i="38"/>
  <c r="I5" i="38"/>
  <c r="I113" i="38" l="1"/>
  <c r="H26" i="38"/>
  <c r="I26" i="38" s="1"/>
  <c r="I18" i="38"/>
  <c r="H157" i="38"/>
  <c r="I157" i="38" s="1"/>
  <c r="I124" i="38"/>
  <c r="H102" i="38"/>
  <c r="I102" i="38" s="1"/>
  <c r="H81" i="38"/>
  <c r="I81" i="38" s="1"/>
  <c r="H37" i="38"/>
  <c r="I37" i="38" s="1"/>
  <c r="M19" i="6"/>
  <c r="AE5" i="4" l="1"/>
  <c r="AF5" i="4" s="1"/>
  <c r="AG5" i="4" s="1"/>
  <c r="AH5" i="4" s="1"/>
  <c r="AE6" i="4"/>
  <c r="AF6" i="4" s="1"/>
  <c r="AG6" i="4" s="1"/>
  <c r="AH6" i="4" s="1"/>
  <c r="AE7" i="4"/>
  <c r="AF7" i="4" s="1"/>
  <c r="AG7" i="4" s="1"/>
  <c r="AH7" i="4" s="1"/>
  <c r="AE8" i="4"/>
  <c r="AF8" i="4" s="1"/>
  <c r="AG8" i="4" s="1"/>
  <c r="AH8" i="4" s="1"/>
  <c r="AE9" i="4"/>
  <c r="AF9" i="4" s="1"/>
  <c r="AG9" i="4" s="1"/>
  <c r="AH9" i="4" s="1"/>
  <c r="AE10" i="4"/>
  <c r="AF10" i="4" s="1"/>
  <c r="AG10" i="4" s="1"/>
  <c r="AH10" i="4" s="1"/>
  <c r="AE11" i="4"/>
  <c r="AF11" i="4" s="1"/>
  <c r="AG11" i="4" s="1"/>
  <c r="AH11" i="4" s="1"/>
  <c r="AE12" i="4"/>
  <c r="AF12" i="4" s="1"/>
  <c r="AG12" i="4" s="1"/>
  <c r="AH12" i="4" s="1"/>
  <c r="AE13" i="4"/>
  <c r="AF13" i="4" s="1"/>
  <c r="AG13" i="4" s="1"/>
  <c r="AH13" i="4" s="1"/>
  <c r="AE14" i="4"/>
  <c r="AF14" i="4" s="1"/>
  <c r="AG14" i="4" s="1"/>
  <c r="AH14" i="4" s="1"/>
  <c r="I11" i="2"/>
  <c r="E11" i="2" s="1"/>
  <c r="AF5" i="3"/>
  <c r="AD6" i="3"/>
  <c r="AE6" i="3" s="1"/>
  <c r="AE7" i="3"/>
  <c r="AD8" i="3"/>
  <c r="AE8" i="3" s="1"/>
  <c r="K24" i="4" l="1"/>
  <c r="AF8" i="3"/>
  <c r="O8" i="3"/>
  <c r="AF6" i="3"/>
  <c r="O6" i="3"/>
  <c r="AF7" i="3"/>
  <c r="O7" i="3"/>
  <c r="N7" i="33" l="1"/>
  <c r="N11" i="33"/>
  <c r="N13" i="33"/>
  <c r="N14" i="33"/>
  <c r="N16" i="33"/>
  <c r="J5" i="17"/>
  <c r="B5" i="33"/>
  <c r="B6" i="33"/>
  <c r="B11" i="33"/>
  <c r="B12" i="33"/>
  <c r="B13" i="33"/>
  <c r="B14" i="33"/>
  <c r="B18" i="33"/>
  <c r="B20" i="33"/>
  <c r="J5" i="10"/>
  <c r="Q5" i="33" l="1"/>
  <c r="Q13" i="33"/>
  <c r="Q12" i="33"/>
  <c r="Q7" i="33"/>
  <c r="Q20" i="33"/>
  <c r="Q14" i="33"/>
  <c r="Q11" i="33"/>
  <c r="Q18" i="33"/>
  <c r="Q6" i="33"/>
  <c r="B16" i="33"/>
  <c r="B8" i="33"/>
  <c r="B4" i="26" l="1"/>
  <c r="B12" i="26"/>
  <c r="B11" i="26"/>
  <c r="B6" i="26"/>
  <c r="B19" i="26"/>
  <c r="B13" i="26"/>
  <c r="B10" i="26"/>
  <c r="B17" i="26"/>
  <c r="B5" i="26"/>
  <c r="Q16" i="33"/>
  <c r="Q8" i="33"/>
  <c r="D6" i="32"/>
  <c r="D7" i="32"/>
  <c r="D8" i="32"/>
  <c r="D9" i="32"/>
  <c r="D11" i="32"/>
  <c r="D12" i="32"/>
  <c r="D13" i="32"/>
  <c r="D14" i="32"/>
  <c r="D15" i="32"/>
  <c r="D16" i="32"/>
  <c r="D17" i="32"/>
  <c r="D18" i="32"/>
  <c r="D4" i="32"/>
  <c r="B15" i="26" l="1"/>
  <c r="B7" i="26"/>
  <c r="AK6" i="25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5" i="25"/>
  <c r="K5" i="34"/>
  <c r="E28" i="26" l="1"/>
  <c r="H9" i="2" l="1"/>
  <c r="H10" i="2"/>
  <c r="I10" i="2" s="1"/>
  <c r="E10" i="2" s="1"/>
  <c r="G24" i="4"/>
  <c r="AG24" i="4" l="1"/>
  <c r="AH24" i="4" s="1"/>
  <c r="AG17" i="4"/>
  <c r="AH17" i="4" s="1"/>
  <c r="AG22" i="4"/>
  <c r="AH22" i="4" s="1"/>
  <c r="AG20" i="4"/>
  <c r="AH20" i="4" s="1"/>
  <c r="M20" i="6"/>
  <c r="M18" i="6"/>
  <c r="M9" i="6"/>
  <c r="M8" i="6"/>
  <c r="M7" i="6"/>
  <c r="M6" i="6"/>
  <c r="M5" i="6"/>
  <c r="K25" i="26" l="1"/>
  <c r="O50" i="4" l="1"/>
  <c r="N50" i="4"/>
  <c r="M50" i="4"/>
  <c r="L50" i="4"/>
  <c r="K50" i="4"/>
  <c r="J50" i="4"/>
  <c r="I50" i="4"/>
  <c r="H50" i="4"/>
  <c r="G50" i="4"/>
  <c r="F50" i="4"/>
  <c r="E50" i="4"/>
  <c r="D50" i="4"/>
  <c r="C50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D36" i="4"/>
  <c r="E36" i="4"/>
  <c r="F36" i="4"/>
  <c r="G36" i="4"/>
  <c r="H36" i="4"/>
  <c r="I36" i="4"/>
  <c r="J36" i="4"/>
  <c r="K36" i="4"/>
  <c r="L36" i="4"/>
  <c r="M36" i="4"/>
  <c r="N36" i="4"/>
  <c r="O36" i="4"/>
  <c r="C36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D32" i="4"/>
  <c r="E32" i="4"/>
  <c r="F32" i="4"/>
  <c r="G32" i="4"/>
  <c r="H32" i="4"/>
  <c r="I32" i="4"/>
  <c r="J32" i="4"/>
  <c r="K32" i="4"/>
  <c r="L32" i="4"/>
  <c r="M32" i="4"/>
  <c r="N32" i="4"/>
  <c r="O32" i="4"/>
  <c r="C32" i="4"/>
  <c r="P40" i="4" l="1"/>
  <c r="Q40" i="4" s="1"/>
  <c r="R40" i="4" s="1"/>
  <c r="P46" i="4"/>
  <c r="Q46" i="4" s="1"/>
  <c r="R46" i="4" s="1"/>
  <c r="P36" i="4"/>
  <c r="Q36" i="4" s="1"/>
  <c r="R36" i="4" s="1"/>
  <c r="P38" i="4"/>
  <c r="Q38" i="4" s="1"/>
  <c r="R38" i="4" s="1"/>
  <c r="P32" i="4"/>
  <c r="Q32" i="4" s="1"/>
  <c r="R32" i="4" s="1"/>
  <c r="P42" i="4"/>
  <c r="Q42" i="4" s="1"/>
  <c r="R42" i="4" s="1"/>
  <c r="P48" i="4"/>
  <c r="Q48" i="4" s="1"/>
  <c r="R48" i="4" s="1"/>
  <c r="P50" i="4"/>
  <c r="Q50" i="4" s="1"/>
  <c r="R50" i="4" s="1"/>
  <c r="P34" i="4"/>
  <c r="Q34" i="4" s="1"/>
  <c r="R34" i="4" s="1"/>
  <c r="P44" i="4"/>
  <c r="Q44" i="4" s="1"/>
  <c r="R44" i="4" s="1"/>
  <c r="I9" i="2" l="1"/>
  <c r="H8" i="2" l="1"/>
  <c r="I8" i="2" s="1"/>
  <c r="H7" i="2" l="1"/>
  <c r="I7" i="2" s="1"/>
  <c r="AG5" i="3" l="1"/>
  <c r="P5" i="3" s="1"/>
  <c r="AG7" i="3" l="1"/>
  <c r="P7" i="3" s="1"/>
  <c r="AG6" i="3"/>
  <c r="P6" i="3" s="1"/>
  <c r="AG8" i="3"/>
  <c r="P8" i="3" s="1"/>
  <c r="O22" i="3" s="1"/>
  <c r="Z1" i="4"/>
  <c r="H4" i="2" l="1"/>
  <c r="I4" i="2" s="1"/>
  <c r="H5" i="2"/>
  <c r="I5" i="2" s="1"/>
  <c r="H6" i="2"/>
  <c r="I6" i="2" s="1"/>
</calcChain>
</file>

<file path=xl/comments1.xml><?xml version="1.0" encoding="utf-8"?>
<comments xmlns="http://schemas.openxmlformats.org/spreadsheetml/2006/main">
  <authors>
    <author>الكاتب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تم اضافة الضائعات على الزراعيه</t>
        </r>
      </text>
    </comment>
  </commentList>
</comments>
</file>

<file path=xl/sharedStrings.xml><?xml version="1.0" encoding="utf-8"?>
<sst xmlns="http://schemas.openxmlformats.org/spreadsheetml/2006/main" count="2223" uniqueCount="522">
  <si>
    <t>الموقع</t>
  </si>
  <si>
    <t>السنة المائية</t>
  </si>
  <si>
    <t>(2011-2010)</t>
  </si>
  <si>
    <t>(2012-2011)</t>
  </si>
  <si>
    <t>المصدر : وزارة الموارد المائية / دائرة التخطيط والمتابعة / قسم السياسات البيئية</t>
  </si>
  <si>
    <t>عدد السكان *</t>
  </si>
  <si>
    <t>(2010-2009)</t>
  </si>
  <si>
    <t>ت</t>
  </si>
  <si>
    <t>ت1</t>
  </si>
  <si>
    <t>ت2</t>
  </si>
  <si>
    <t>ك1</t>
  </si>
  <si>
    <t>ك2</t>
  </si>
  <si>
    <t>شباط</t>
  </si>
  <si>
    <t>أذار</t>
  </si>
  <si>
    <t>نيسان</t>
  </si>
  <si>
    <t>آيار</t>
  </si>
  <si>
    <t>حزيران</t>
  </si>
  <si>
    <t>تموز</t>
  </si>
  <si>
    <t>أب</t>
  </si>
  <si>
    <t>أيلول</t>
  </si>
  <si>
    <t xml:space="preserve">مجموع (1) و (2) و (3) </t>
  </si>
  <si>
    <t>آذار</t>
  </si>
  <si>
    <t>آب</t>
  </si>
  <si>
    <t>حوض دجلة</t>
  </si>
  <si>
    <t>حوض الفرات</t>
  </si>
  <si>
    <t>الزاب الأسفل (قناة ري كركوك)</t>
  </si>
  <si>
    <t>المجموع</t>
  </si>
  <si>
    <r>
      <t>ت</t>
    </r>
    <r>
      <rPr>
        <b/>
        <sz val="9"/>
        <rFont val="Times New Roman"/>
        <family val="1"/>
      </rPr>
      <t>1</t>
    </r>
  </si>
  <si>
    <r>
      <t>ت</t>
    </r>
    <r>
      <rPr>
        <b/>
        <sz val="9"/>
        <rFont val="Times New Roman"/>
        <family val="1"/>
      </rPr>
      <t>2</t>
    </r>
  </si>
  <si>
    <r>
      <t>ك</t>
    </r>
    <r>
      <rPr>
        <b/>
        <sz val="9"/>
        <rFont val="Times New Roman"/>
        <family val="1"/>
      </rPr>
      <t>1</t>
    </r>
  </si>
  <si>
    <r>
      <t>ك</t>
    </r>
    <r>
      <rPr>
        <b/>
        <sz val="9"/>
        <rFont val="Times New Roman"/>
        <family val="1"/>
      </rPr>
      <t>2</t>
    </r>
  </si>
  <si>
    <t>. 1</t>
  </si>
  <si>
    <t>سد الموصل</t>
  </si>
  <si>
    <t>. 2</t>
  </si>
  <si>
    <t>. 3</t>
  </si>
  <si>
    <t>. 4</t>
  </si>
  <si>
    <t>دبس</t>
  </si>
  <si>
    <t>بغداد</t>
  </si>
  <si>
    <t>. 6</t>
  </si>
  <si>
    <t>سدة سامراء</t>
  </si>
  <si>
    <t>. 7</t>
  </si>
  <si>
    <t>دربندخان</t>
  </si>
  <si>
    <t>. 8</t>
  </si>
  <si>
    <t>سد حمرين</t>
  </si>
  <si>
    <t>. 9</t>
  </si>
  <si>
    <t>. 10</t>
  </si>
  <si>
    <t>. 11</t>
  </si>
  <si>
    <t>. 12</t>
  </si>
  <si>
    <t>حديثة</t>
  </si>
  <si>
    <t>. 13</t>
  </si>
  <si>
    <t xml:space="preserve">سدة الهندية </t>
  </si>
  <si>
    <t>. 14</t>
  </si>
  <si>
    <t>سدة الكوت</t>
  </si>
  <si>
    <t>. 15</t>
  </si>
  <si>
    <t>علي الغربي</t>
  </si>
  <si>
    <t>السليمانية</t>
  </si>
  <si>
    <t>أربيل</t>
  </si>
  <si>
    <t>. 16</t>
  </si>
  <si>
    <t>الاشهر</t>
  </si>
  <si>
    <t>سد دوكان</t>
  </si>
  <si>
    <t>سد دربندخان</t>
  </si>
  <si>
    <t>بحيرة الثرثار</t>
  </si>
  <si>
    <t>سد حديثة</t>
  </si>
  <si>
    <t>بحيرة الحبانية</t>
  </si>
  <si>
    <t>تشرين الاول</t>
  </si>
  <si>
    <t>تشرين الثاني</t>
  </si>
  <si>
    <t>كانون الاول</t>
  </si>
  <si>
    <t>كانون الثاني</t>
  </si>
  <si>
    <t>الحوض</t>
  </si>
  <si>
    <t>السد أو البحيرة</t>
  </si>
  <si>
    <t>المنسوب ( م )</t>
  </si>
  <si>
    <t>حوضي دجلة والفرات</t>
  </si>
  <si>
    <t>حوض العظيم</t>
  </si>
  <si>
    <t>سد العظيم</t>
  </si>
  <si>
    <t>كربلاء</t>
  </si>
  <si>
    <t>المحافظة</t>
  </si>
  <si>
    <t>نينوى</t>
  </si>
  <si>
    <t>كركوك</t>
  </si>
  <si>
    <t>ديالى</t>
  </si>
  <si>
    <t>صلاح الدين</t>
  </si>
  <si>
    <t>أطراف بغداد</t>
  </si>
  <si>
    <t>واسط</t>
  </si>
  <si>
    <t>بابل</t>
  </si>
  <si>
    <t>النجف</t>
  </si>
  <si>
    <t>القادسية</t>
  </si>
  <si>
    <t>المثنى</t>
  </si>
  <si>
    <t>ذي قار</t>
  </si>
  <si>
    <t>ميسان</t>
  </si>
  <si>
    <t>البصرة</t>
  </si>
  <si>
    <t>أمانة بغداد</t>
  </si>
  <si>
    <t>المجموع الكلي</t>
  </si>
  <si>
    <t>ريف</t>
  </si>
  <si>
    <t>ــ يتبع ــ</t>
  </si>
  <si>
    <t>(مستعمرة)</t>
  </si>
  <si>
    <t>المشاريع</t>
  </si>
  <si>
    <t>العدّ البكتيري</t>
  </si>
  <si>
    <t>بكتريا القولون</t>
  </si>
  <si>
    <t>بكتريا القولون البرازية</t>
  </si>
  <si>
    <t>Min.</t>
  </si>
  <si>
    <t>Max.</t>
  </si>
  <si>
    <t>الكرخ</t>
  </si>
  <si>
    <t xml:space="preserve">شرق دجلة </t>
  </si>
  <si>
    <t>الصدر</t>
  </si>
  <si>
    <t>الوثبة</t>
  </si>
  <si>
    <t>الكرامة</t>
  </si>
  <si>
    <t>الدورة</t>
  </si>
  <si>
    <t xml:space="preserve">الوحدة </t>
  </si>
  <si>
    <t>الرشيد</t>
  </si>
  <si>
    <t xml:space="preserve">بكتريا القولون </t>
  </si>
  <si>
    <t xml:space="preserve">الحدود الدنيا والعليا للفحوصات البكتريولوجية </t>
  </si>
  <si>
    <t>معدل الفحوصات البكتريولوجية</t>
  </si>
  <si>
    <t xml:space="preserve"> نوع الفحص </t>
  </si>
  <si>
    <t>وحدة القياس</t>
  </si>
  <si>
    <t xml:space="preserve">ماء النهر </t>
  </si>
  <si>
    <t>ماء الشرب</t>
  </si>
  <si>
    <t>Ave.</t>
  </si>
  <si>
    <t>اللون</t>
  </si>
  <si>
    <t xml:space="preserve">Color </t>
  </si>
  <si>
    <t>درجة الحرارة</t>
  </si>
  <si>
    <t xml:space="preserve">Temperature           </t>
  </si>
  <si>
    <t xml:space="preserve">C° </t>
  </si>
  <si>
    <t>العكورة</t>
  </si>
  <si>
    <t>mg/L</t>
  </si>
  <si>
    <t>PH</t>
  </si>
  <si>
    <t>القاعدية</t>
  </si>
  <si>
    <t xml:space="preserve"> العسرة الكلية</t>
  </si>
  <si>
    <t>الكالسيوم</t>
  </si>
  <si>
    <t>Calcium as Ca</t>
  </si>
  <si>
    <t>المغنيسيوم</t>
  </si>
  <si>
    <t>Magnesium as Mg</t>
  </si>
  <si>
    <t>الكلورايد</t>
  </si>
  <si>
    <t>Chloride as CL</t>
  </si>
  <si>
    <t xml:space="preserve"> mg/L</t>
  </si>
  <si>
    <t>التوصيل الكهربائي</t>
  </si>
  <si>
    <t xml:space="preserve">Conductivity </t>
  </si>
  <si>
    <t>µs/cm</t>
  </si>
  <si>
    <t>الالمنيوم</t>
  </si>
  <si>
    <t xml:space="preserve">Aluminium as AL </t>
  </si>
  <si>
    <t>mg /L</t>
  </si>
  <si>
    <t xml:space="preserve"> المواد الصلبة المذابة</t>
  </si>
  <si>
    <t>Total Dissolve solids</t>
  </si>
  <si>
    <t xml:space="preserve">Suspended solids </t>
  </si>
  <si>
    <t xml:space="preserve">Iron as Fe </t>
  </si>
  <si>
    <t xml:space="preserve">الكبريتات </t>
  </si>
  <si>
    <t xml:space="preserve">الفلورايد  </t>
  </si>
  <si>
    <t xml:space="preserve">Fluoride as F </t>
  </si>
  <si>
    <t xml:space="preserve">امونيا </t>
  </si>
  <si>
    <t xml:space="preserve">نتريت   </t>
  </si>
  <si>
    <t xml:space="preserve">نترات </t>
  </si>
  <si>
    <t xml:space="preserve">سيلكا </t>
  </si>
  <si>
    <t xml:space="preserve">الفوسفات  </t>
  </si>
  <si>
    <t>كاديميوم</t>
  </si>
  <si>
    <t xml:space="preserve">Cadmium as Cd </t>
  </si>
  <si>
    <t>رصاص</t>
  </si>
  <si>
    <t>Lead as Pb</t>
  </si>
  <si>
    <t>منغنيز</t>
  </si>
  <si>
    <t>Manganese as Mn</t>
  </si>
  <si>
    <t>نحاس</t>
  </si>
  <si>
    <t>Copper as Cu</t>
  </si>
  <si>
    <t>كروم</t>
  </si>
  <si>
    <t>Chromium as Cr</t>
  </si>
  <si>
    <t>زنك</t>
  </si>
  <si>
    <t>Zinc as Zn</t>
  </si>
  <si>
    <t>صوديوم</t>
  </si>
  <si>
    <t>Sodium as Na</t>
  </si>
  <si>
    <t>بوتاسيوم</t>
  </si>
  <si>
    <t xml:space="preserve">Potassium as K </t>
  </si>
  <si>
    <t>زرنيخ</t>
  </si>
  <si>
    <t>Arsenic as As</t>
  </si>
  <si>
    <t>زئبق</t>
  </si>
  <si>
    <t>Mercury as Hg</t>
  </si>
  <si>
    <t xml:space="preserve">وحدة القياس </t>
  </si>
  <si>
    <t>Turbidity</t>
  </si>
  <si>
    <t>العسرة الكلية</t>
  </si>
  <si>
    <t>T.H.</t>
  </si>
  <si>
    <t>ALK.</t>
  </si>
  <si>
    <t xml:space="preserve">الأملاح الذائبة الكلية            </t>
  </si>
  <si>
    <t>T.D.S.</t>
  </si>
  <si>
    <t xml:space="preserve">الأس الهيدروجيني                                </t>
  </si>
  <si>
    <t xml:space="preserve">الكلوريدات </t>
  </si>
  <si>
    <t>Cl</t>
  </si>
  <si>
    <t xml:space="preserve">الكالسيوم  </t>
  </si>
  <si>
    <t>Ca</t>
  </si>
  <si>
    <t xml:space="preserve">المغنيسيوم  </t>
  </si>
  <si>
    <t>Mg</t>
  </si>
  <si>
    <t xml:space="preserve">التوصيل الكهربائي                                           </t>
  </si>
  <si>
    <t>E.C.</t>
  </si>
  <si>
    <t>الصوديوم</t>
  </si>
  <si>
    <t>Na</t>
  </si>
  <si>
    <t>البوتاسيوم</t>
  </si>
  <si>
    <t>K</t>
  </si>
  <si>
    <t>الكبريتات</t>
  </si>
  <si>
    <t>SO4</t>
  </si>
  <si>
    <t xml:space="preserve">تشرين الأول </t>
  </si>
  <si>
    <t>كانون الأول</t>
  </si>
  <si>
    <t>ت 1</t>
  </si>
  <si>
    <t>ت 2</t>
  </si>
  <si>
    <t>ك 1</t>
  </si>
  <si>
    <t>هور الحويزة</t>
  </si>
  <si>
    <t>نهر دجلة الرئيسي</t>
  </si>
  <si>
    <t xml:space="preserve"> ديالى</t>
  </si>
  <si>
    <t>الحديد</t>
  </si>
  <si>
    <t>نوع الفحص</t>
  </si>
  <si>
    <t>E.coli / 100 ml</t>
  </si>
  <si>
    <r>
      <t>Alkalinity as CaCO</t>
    </r>
    <r>
      <rPr>
        <b/>
        <sz val="8"/>
        <rFont val="Times New Roman"/>
        <family val="1"/>
      </rPr>
      <t>3</t>
    </r>
    <r>
      <rPr>
        <b/>
        <sz val="10"/>
        <rFont val="Times New Roman"/>
        <family val="1"/>
      </rPr>
      <t xml:space="preserve">  </t>
    </r>
  </si>
  <si>
    <r>
      <t>Total Hardness as CaCo</t>
    </r>
    <r>
      <rPr>
        <b/>
        <sz val="8"/>
        <rFont val="Times New Roman"/>
        <family val="1"/>
      </rPr>
      <t>3</t>
    </r>
    <r>
      <rPr>
        <b/>
        <sz val="10"/>
        <rFont val="Times New Roman"/>
        <family val="1"/>
      </rPr>
      <t xml:space="preserve"> </t>
    </r>
  </si>
  <si>
    <r>
      <t>Sulfate as SO</t>
    </r>
    <r>
      <rPr>
        <b/>
        <sz val="8"/>
        <rFont val="Times New Roman"/>
        <family val="1"/>
      </rPr>
      <t>4</t>
    </r>
    <r>
      <rPr>
        <b/>
        <sz val="10"/>
        <rFont val="Times New Roman"/>
        <family val="1"/>
      </rPr>
      <t xml:space="preserve"> </t>
    </r>
  </si>
  <si>
    <t>(2013-2012)</t>
  </si>
  <si>
    <t>إجمالي</t>
  </si>
  <si>
    <t>البلديات</t>
  </si>
  <si>
    <t xml:space="preserve">Turbidity </t>
  </si>
  <si>
    <t>N.T.U</t>
  </si>
  <si>
    <r>
      <t>Ammonia as NH</t>
    </r>
    <r>
      <rPr>
        <b/>
        <sz val="8"/>
        <rFont val="Times New Roman"/>
        <family val="1"/>
      </rPr>
      <t>3</t>
    </r>
  </si>
  <si>
    <r>
      <t>Nitrite as NO</t>
    </r>
    <r>
      <rPr>
        <b/>
        <sz val="8"/>
        <rFont val="Simplified Arabic"/>
        <family val="1"/>
      </rPr>
      <t>2</t>
    </r>
    <r>
      <rPr>
        <b/>
        <sz val="10"/>
        <rFont val="Simplified Arabic"/>
        <family val="1"/>
      </rPr>
      <t xml:space="preserve"> </t>
    </r>
  </si>
  <si>
    <r>
      <t>Nitrate as NO</t>
    </r>
    <r>
      <rPr>
        <b/>
        <sz val="8"/>
        <rFont val="Simplified Arabic"/>
        <family val="1"/>
      </rPr>
      <t>3</t>
    </r>
    <r>
      <rPr>
        <b/>
        <sz val="10"/>
        <rFont val="Simplified Arabic"/>
        <family val="1"/>
      </rPr>
      <t xml:space="preserve"> </t>
    </r>
  </si>
  <si>
    <r>
      <t>Silica as SiO</t>
    </r>
    <r>
      <rPr>
        <b/>
        <sz val="8"/>
        <rFont val="Simplified Arabic"/>
        <family val="1"/>
      </rPr>
      <t>2</t>
    </r>
    <r>
      <rPr>
        <b/>
        <sz val="10"/>
        <rFont val="Simplified Arabic"/>
        <family val="1"/>
      </rPr>
      <t xml:space="preserve"> </t>
    </r>
  </si>
  <si>
    <r>
      <t>Phosphate as  PO</t>
    </r>
    <r>
      <rPr>
        <b/>
        <sz val="8"/>
        <rFont val="Simplified Arabic"/>
        <family val="1"/>
      </rPr>
      <t>4</t>
    </r>
    <r>
      <rPr>
        <b/>
        <sz val="10"/>
        <rFont val="Simplified Arabic"/>
        <family val="1"/>
      </rPr>
      <t xml:space="preserve"> </t>
    </r>
  </si>
  <si>
    <t>مجموع</t>
  </si>
  <si>
    <t>تقسيم 12</t>
  </si>
  <si>
    <t>رافد الزاب الأسفل</t>
  </si>
  <si>
    <t>رافد نهر ديالى</t>
  </si>
  <si>
    <t>حوض العظيم (مؤخر سد العظيم)</t>
  </si>
  <si>
    <t>الإجمالي</t>
  </si>
  <si>
    <t>النسبة المئوية</t>
  </si>
  <si>
    <t xml:space="preserve">آذار </t>
  </si>
  <si>
    <t>الزاب الأسفل</t>
  </si>
  <si>
    <t>الأس الهيدروجيني</t>
  </si>
  <si>
    <t xml:space="preserve">   * فحص المواد العالقة الصلبة يجرى لماء النهر فقط </t>
  </si>
  <si>
    <t xml:space="preserve">   المصدر : أمانة بغداد / دائرة ماء بغداد / قسم السيطرة النوعية </t>
  </si>
  <si>
    <t>المصدر : أمانة بغداد / دائرة ماء بغداد / قسم السيطرة النوعية</t>
  </si>
  <si>
    <t>قسم إحصاءات البيئة - الجهاز المركزي للإحصاء / العراق</t>
  </si>
  <si>
    <t>(2014-2013)</t>
  </si>
  <si>
    <t>2014-2013</t>
  </si>
  <si>
    <t>إجمالي التجهيز      (مليار م³)</t>
  </si>
  <si>
    <t xml:space="preserve">الكاظمية </t>
  </si>
  <si>
    <t>المعدل الشهري ( م³ / ثا)</t>
  </si>
  <si>
    <t>حوض ديالى                   ( مؤخر سد حمرين)</t>
  </si>
  <si>
    <t>2014 - 2015</t>
  </si>
  <si>
    <t>(2015-2014)</t>
  </si>
  <si>
    <t>بدرة</t>
  </si>
  <si>
    <t>الناصرية</t>
  </si>
  <si>
    <t xml:space="preserve">سد حمرين </t>
  </si>
  <si>
    <t>دهوك</t>
  </si>
  <si>
    <t>الموسم الشتوي ( م³/ ثا)</t>
  </si>
  <si>
    <t>الموسم الصيفي ( م³/ ثا)</t>
  </si>
  <si>
    <t>الأشهر</t>
  </si>
  <si>
    <t>&lt;0.01</t>
  </si>
  <si>
    <t>&lt;0.001</t>
  </si>
  <si>
    <t>&lt;0.002</t>
  </si>
  <si>
    <t>&lt;0.02</t>
  </si>
  <si>
    <t>حوض ديالى (مؤخر سد حمرين)</t>
  </si>
  <si>
    <t xml:space="preserve"> مشاريع المياه</t>
  </si>
  <si>
    <t xml:space="preserve"> النسبة المئوية لمعدل كميات المياه المنتجة إلى الطاقة التصميمية </t>
  </si>
  <si>
    <t>العدد</t>
  </si>
  <si>
    <t>%</t>
  </si>
  <si>
    <t>قسم احصاءات البيئة - الجهاز المركزي للاحصاء / العراق</t>
  </si>
  <si>
    <t>المجمعات المائية</t>
  </si>
  <si>
    <r>
      <t>مجموع الطاقات التصميمية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</si>
  <si>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r>
      <t>معدل الطاقات المتاحة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</si>
  <si>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t>النسبة المئوية لمعدل كميات المياه المنتجة إلى الطاقة التصميمية</t>
  </si>
  <si>
    <r>
      <t xml:space="preserve"> معدل كميات المياه المنتجة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</si>
  <si>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t>محطات تحلية المياه (RO)</t>
  </si>
  <si>
    <t xml:space="preserve">النسبة المئوية لمعدل كميات المياه المحلاة المنتجة إلى الطاقة التصميمية </t>
  </si>
  <si>
    <t>المحطات العاملة بالطاقة الشمسية</t>
  </si>
  <si>
    <t>(م³/ يوم)</t>
  </si>
  <si>
    <t>مشاريع المياه</t>
  </si>
  <si>
    <t xml:space="preserve">معدل كميات المياه المفقودة (الضياعات) أثناء النقل بشبكة توزيع المياه </t>
  </si>
  <si>
    <t xml:space="preserve">النسبة المئوية لمعدل كميات المياه المفقودة (الضياعات) أثناء النقل بشبكة توزيع المياه </t>
  </si>
  <si>
    <t xml:space="preserve">حضر </t>
  </si>
  <si>
    <t>عدد السكان المخدومين بشبكات توزيع المياه الصالحة للشرب (نسمة)</t>
  </si>
  <si>
    <t>عدد السكان الكلي في المحافظة (نسمة) *</t>
  </si>
  <si>
    <t>* عدد السكان حسب تقديرات الجهاز المركزي للإحصاء</t>
  </si>
  <si>
    <t>عدد السكان المخدومين</t>
  </si>
  <si>
    <t>نسبة السكان المخدومين</t>
  </si>
  <si>
    <t>حضر</t>
  </si>
  <si>
    <t xml:space="preserve">ريف </t>
  </si>
  <si>
    <t xml:space="preserve">الماء الخام </t>
  </si>
  <si>
    <t xml:space="preserve">.. بيانات غير متوفرة </t>
  </si>
  <si>
    <t xml:space="preserve">بحيرة الثرثار </t>
  </si>
  <si>
    <t xml:space="preserve">سد العظيم </t>
  </si>
  <si>
    <t xml:space="preserve">بحيرة الحبانية </t>
  </si>
  <si>
    <t>.. بيانات غير متوفرة</t>
  </si>
  <si>
    <t>العدد الكلي</t>
  </si>
  <si>
    <t xml:space="preserve">مجموع الطاقات التصميمية </t>
  </si>
  <si>
    <t xml:space="preserve"> (م³/ يوم)</t>
  </si>
  <si>
    <t>المياه السطحية</t>
  </si>
  <si>
    <t>المياه الجوفية</t>
  </si>
  <si>
    <t xml:space="preserve">صلاح الدين </t>
  </si>
  <si>
    <t>المشاريع والمجمعات المائية</t>
  </si>
  <si>
    <t xml:space="preserve">العدد الكلي </t>
  </si>
  <si>
    <t>العاملة</t>
  </si>
  <si>
    <t>المتوقفة</t>
  </si>
  <si>
    <t xml:space="preserve">العاملة   جزئياً </t>
  </si>
  <si>
    <t xml:space="preserve">العاملة    جزئياً </t>
  </si>
  <si>
    <t>الحاجة التقديرية لكمية المياه الصالحة للشرب (م³/ يوم)</t>
  </si>
  <si>
    <t>منزلي</t>
  </si>
  <si>
    <t>حكومي</t>
  </si>
  <si>
    <t>أخرى</t>
  </si>
  <si>
    <t>أهم المشاكل</t>
  </si>
  <si>
    <t>عدد المحافظات</t>
  </si>
  <si>
    <t>أسماء المحافظات</t>
  </si>
  <si>
    <t>عدم كفاءة المشروع</t>
  </si>
  <si>
    <t>شحة المياه الخام في المصدر المائي</t>
  </si>
  <si>
    <t>تلوث مياه المصدر</t>
  </si>
  <si>
    <t>قدم الشبكة وضعفها</t>
  </si>
  <si>
    <t>أنتاج المشروع لا يسد الحاجة</t>
  </si>
  <si>
    <t>ضعف الصيانة وعدم الإدامة</t>
  </si>
  <si>
    <t>شحة الأدوات الاحتياطية والمواد الأولية</t>
  </si>
  <si>
    <t>قلة الكادر الفني والإداري</t>
  </si>
  <si>
    <t>عدم كفاءة الكادر الفني</t>
  </si>
  <si>
    <t>شحة وتذبذب الطاقة الكهربائية اللازمة للتشغيل</t>
  </si>
  <si>
    <t>تجاوزات المواطنين على الشبكة</t>
  </si>
  <si>
    <t>ضعف الوعي لدى المواطن بترشيد الاستهلاك</t>
  </si>
  <si>
    <t xml:space="preserve">الإجمالي </t>
  </si>
  <si>
    <t>(2016-2015)</t>
  </si>
  <si>
    <t xml:space="preserve">الكمية (م³/ يوم)  </t>
  </si>
  <si>
    <t>كمية المياه المنتجة والموزّعة حسب القطاع ( م³/ يوم)</t>
  </si>
  <si>
    <t>التوزيع النسبي للمياه المنتجة والموزّعة حسب القطاع</t>
  </si>
  <si>
    <t xml:space="preserve">أخرى </t>
  </si>
  <si>
    <t>المجموع الكلي للمحطات</t>
  </si>
  <si>
    <t>..</t>
  </si>
  <si>
    <t>.. بيانات  غير متوفرة</t>
  </si>
  <si>
    <t>كمية المياه الخام المسحوبة من المشاريع والمجمعات المائية لمحطات التحلية (م³/ يوم)</t>
  </si>
  <si>
    <t>قلة التخصيصات المالية</t>
  </si>
  <si>
    <t xml:space="preserve">الأشهر </t>
  </si>
  <si>
    <t>تقسيم مليار</t>
  </si>
  <si>
    <t xml:space="preserve">المصدر : 1.  وزارة الإعمار والإسكان والبلديات والأشغال العامة / مديريات الماء في المحافظات                                                                                                                               </t>
  </si>
  <si>
    <t xml:space="preserve">            2.  أمانة بغداد / دائرة ماء بغداد</t>
  </si>
  <si>
    <t>المصدر : وزارة الإعمار والإسكان والبلديات والأشغال العامة / المديرية العامة للماء / قسم السيطرة النوعية</t>
  </si>
  <si>
    <t>السماوة</t>
  </si>
  <si>
    <t>المجموع الكلي لكمية المياه المنتجة *</t>
  </si>
  <si>
    <t>معدل كمية المياه الموزّعة مجاناً</t>
  </si>
  <si>
    <t>معدل كمية المياه المجهزة (الماء المباع) الصالحة للشرب</t>
  </si>
  <si>
    <t xml:space="preserve">   معدل كميات المياه المجهزّة للسكان (الماء المباع) الصالحة للشرب (م³/ يوم)</t>
  </si>
  <si>
    <t xml:space="preserve"> المجموع السنوي </t>
  </si>
  <si>
    <t xml:space="preserve">المعدل العام         </t>
  </si>
  <si>
    <t>الأنبار</t>
  </si>
  <si>
    <t>النهر</t>
  </si>
  <si>
    <t xml:space="preserve">المعدل السنوي      </t>
  </si>
  <si>
    <t xml:space="preserve">( م³ / ثا) </t>
  </si>
  <si>
    <t xml:space="preserve">الوارد السنوي </t>
  </si>
  <si>
    <t xml:space="preserve">(مليار م³) </t>
  </si>
  <si>
    <t>ملم</t>
  </si>
  <si>
    <t>(2017-2016)</t>
  </si>
  <si>
    <t>الآبار</t>
  </si>
  <si>
    <t>محطات إنتاج  المياه المنصوبة على الآبار</t>
  </si>
  <si>
    <t xml:space="preserve">مجموع معدلات الطاقات المتاحة </t>
  </si>
  <si>
    <t xml:space="preserve">مجموع معدلات كميات المياه المنتجة </t>
  </si>
  <si>
    <t>مجموع معدلات كميات المياه الخام المسحوبة حسب المصدر  (م³/ يوم)</t>
  </si>
  <si>
    <t>مجموع معدلات كميات المياه الخام المسحوبة من الآبار والمستخدمة كمصدر للمياه الخام  (م³/ يوم)</t>
  </si>
  <si>
    <t>محطات إنتاج المياه المنصوبة على الآبار</t>
  </si>
  <si>
    <t>0/5</t>
  </si>
  <si>
    <r>
      <rPr>
        <b/>
        <sz val="9"/>
        <rFont val="Arial"/>
        <family val="2"/>
      </rPr>
      <t>&lt;</t>
    </r>
    <r>
      <rPr>
        <b/>
        <sz val="9"/>
        <rFont val="Times New Roman"/>
        <family val="1"/>
      </rPr>
      <t xml:space="preserve"> 0.01</t>
    </r>
  </si>
  <si>
    <t>&lt;0.005</t>
  </si>
  <si>
    <t>&lt;0.5</t>
  </si>
  <si>
    <t>سوء الأوضاع الأمنية</t>
  </si>
  <si>
    <t>مجموع معدلات كميات المياه الخام المسحوبة حسب المصدر (م³/ يوم)</t>
  </si>
  <si>
    <t>معدل كميات المياه الخام المسحوبة حسب المصدر (م³/ يوم)</t>
  </si>
  <si>
    <t xml:space="preserve">كمية المياه المسحوبة من المشاريع والمجمعات المائية لمحطات تحلية المياه (RO) (م³/ يوم) </t>
  </si>
  <si>
    <t>المجموع الكلي لكمية المياه الصالحة للشرب المنتجة (م³/ يوم)</t>
  </si>
  <si>
    <t>الشهر</t>
  </si>
  <si>
    <t>اسم الهور</t>
  </si>
  <si>
    <t>اسم المحافظة</t>
  </si>
  <si>
    <t>المجموع الكلي للاهوار</t>
  </si>
  <si>
    <t>نسبة الاغمار لكل هور %</t>
  </si>
  <si>
    <t>آيلول</t>
  </si>
  <si>
    <t>المغمورة حاليآ (كم²)</t>
  </si>
  <si>
    <t>غير المغمورة (كم²)</t>
  </si>
  <si>
    <t>المستبعدة من الاغمار (كم²)</t>
  </si>
  <si>
    <t>المساحة قبل التجفيف عام 1973 (كم²)</t>
  </si>
  <si>
    <t>المساحة بعد الانعاش</t>
  </si>
  <si>
    <t>الاهوار الوسطى وبضمنها نهر العز</t>
  </si>
  <si>
    <t>* المجموع الكلي لكمية المياه الخام المسحوبة = مجموع الكميات المسحوبة من (المياه السطحية والمياه الجوفية)</t>
  </si>
  <si>
    <t>معدل كميات المياه الخام المسحوبة لمحطات أنتاج    المياه   *</t>
  </si>
  <si>
    <t>معدل كميات المياه المنتجة من محطات أنتاج المياه  **</t>
  </si>
  <si>
    <t>Plate count / 1 ml</t>
  </si>
  <si>
    <t>T.Coliform / 100 ml</t>
  </si>
  <si>
    <t>Plate count /  1 ml</t>
  </si>
  <si>
    <t>مجموع الواردات (مليار م³ / سنة)</t>
  </si>
  <si>
    <t>(2018-2017)</t>
  </si>
  <si>
    <t>المتحقق في 2018/10/1</t>
  </si>
  <si>
    <t>عدد النماذج البكتريولوجية المفحوصة</t>
  </si>
  <si>
    <t>عدد النماذج الفاشلة</t>
  </si>
  <si>
    <t>نسبة الفشل</t>
  </si>
  <si>
    <t xml:space="preserve"> بغداد</t>
  </si>
  <si>
    <t>متوسط نصيب الفرد من المياه المجهزّة للسكان الكلي (الماء المباع) الصالحة للشرب (لتر/ يوم)</t>
  </si>
  <si>
    <t>متوسط نصيب الفرد من المياه المجهزّة للسكان المخدومين (الماء المباع) الصالحة للشرب (لتر/ يوم)</t>
  </si>
  <si>
    <t>عدد السكان الكلي *</t>
  </si>
  <si>
    <t>كمية المياه الكلية المنتجة (الماء المباع + الموزع  مجاناً) (م³/ يوم)</t>
  </si>
  <si>
    <r>
      <rPr>
        <b/>
        <sz val="10"/>
        <rFont val="Arial"/>
        <family val="2"/>
      </rPr>
      <t>&lt;</t>
    </r>
    <r>
      <rPr>
        <b/>
        <sz val="10"/>
        <rFont val="Times New Roman"/>
        <family val="1"/>
      </rPr>
      <t xml:space="preserve"> 0.01</t>
    </r>
  </si>
  <si>
    <t>كمية المياه الموّزعة مجاناً (م³/ يوم)</t>
  </si>
  <si>
    <t>نينوى ، ديالى ، أطراف بغداد ، بابل ، صلاح الدين ، النجف ، القادسية ، المثنى ، ذي قار ، ميسان ، البصرة</t>
  </si>
  <si>
    <t>المعدل السنوي</t>
  </si>
  <si>
    <t>2017 - 2018</t>
  </si>
  <si>
    <t>. 5</t>
  </si>
  <si>
    <t>الخزن الحي لغاية المنافذ السفلى (مليار م³)</t>
  </si>
  <si>
    <r>
      <t>مجموع المساحة المؤهلة للإغمار (كم</t>
    </r>
    <r>
      <rPr>
        <b/>
        <sz val="10"/>
        <rFont val="Times New Roman"/>
        <family val="1"/>
      </rPr>
      <t>²</t>
    </r>
    <r>
      <rPr>
        <b/>
        <sz val="10"/>
        <rFont val="Arial"/>
        <family val="2"/>
      </rPr>
      <t>)</t>
    </r>
  </si>
  <si>
    <t>مجموع الواردات عبر المغذيات</t>
  </si>
  <si>
    <t>المجموع السنوي</t>
  </si>
  <si>
    <t>مليون م³</t>
  </si>
  <si>
    <t>جدول (1)</t>
  </si>
  <si>
    <t>جدول (2)</t>
  </si>
  <si>
    <t>جدول (3)</t>
  </si>
  <si>
    <t>جدول (5)</t>
  </si>
  <si>
    <t>جدول (6)</t>
  </si>
  <si>
    <t>جدول (7)</t>
  </si>
  <si>
    <t>جدول (10)</t>
  </si>
  <si>
    <t>جدول (11)</t>
  </si>
  <si>
    <t>جدول (12)</t>
  </si>
  <si>
    <t>جدول ( 21)</t>
  </si>
  <si>
    <t>جدول (24)</t>
  </si>
  <si>
    <t>جدول (25)</t>
  </si>
  <si>
    <t>جدول (28)</t>
  </si>
  <si>
    <t>متوسط نصيب الفرد من المياه المجهزة للسكان الكلي (الماء المباع + الموّزع مجاناً) (لتر/ يوم)</t>
  </si>
  <si>
    <t xml:space="preserve">كمية مياه الأهوار </t>
  </si>
  <si>
    <t>* عدد السكان حسب تقديرات الجهاز المركزي للاحصاء : بناءاً على ما شهده العراق من حملات قتل وإبادة جماعية للسنوات (2015 ، 2016 ، 2017) مارسها داعش وقوى إرهابية ضد العراقيين والدمار الذي لحق ببعض المحافظات بسبب الأوضاع الأمنية غير المستقرة التي مر بها البلد ، تم إعداد إسقاطات سكانية جديدة بناءاً على فرضيات سكانية تتلائم مع واقع البلد من حيث تخفيض الخصوبة وتوقع العمر عند الولادة.</t>
  </si>
  <si>
    <t>المواد العالقة الصلبة *</t>
  </si>
  <si>
    <t>الأهوار الوسطى (اهوار القرنة)</t>
  </si>
  <si>
    <t>هور الحّمار</t>
  </si>
  <si>
    <t xml:space="preserve">   الحويزة</t>
  </si>
  <si>
    <t xml:space="preserve">   الوسطى</t>
  </si>
  <si>
    <t xml:space="preserve">   الحمّار</t>
  </si>
  <si>
    <t xml:space="preserve">   المجموع</t>
  </si>
  <si>
    <t xml:space="preserve">المصدر : وزارة الصحة والبيئة - القطاع الصحي / قسم الإحصاء الصحي والحياتي </t>
  </si>
  <si>
    <t>* المجموع الكلي لكمية المياه المنتجة = مجموع الكميات المنتجة من (المشاريع + المجمعات المائية + محطات تحلية المياه (RO)+ محطات إنتاج المياه المنصوبة على الأبار + المحطات العاملة بالطاقة الشمسية - كمية المياه الخام المسحوبة من المشاريع والمجمعات المائية لمحطات التحلية)</t>
  </si>
  <si>
    <t>* *  المجموع الكلي لكمية المياه المنتجة = مجموع الكميات المنتجة من (المشاريع + المجمعات المائية + محطات تحلية المياه (RO)+ محطات إنتاج المياه المنصوبة على الأبار + المحطات العاملة بالطاقة الشمسية - كمية المياه الخام المسحوبة من المشاريع والمجمعات المائية لمحطات التحلية)</t>
  </si>
  <si>
    <r>
      <rPr>
        <b/>
        <sz val="10"/>
        <rFont val="Arial"/>
        <family val="2"/>
      </rPr>
      <t>&lt;</t>
    </r>
    <r>
      <rPr>
        <b/>
        <sz val="10"/>
        <rFont val="Times New Roman"/>
        <family val="1"/>
      </rPr>
      <t xml:space="preserve"> 0.02</t>
    </r>
  </si>
  <si>
    <t>(2019-2018)</t>
  </si>
  <si>
    <t>معدل التصاريف المجهّزة للأحواض لمختلف الأغراض خلال السنة المائية (2018-2019) مقارنة مع السنة المائية (2017-2018) حسب الأشهر</t>
  </si>
  <si>
    <t>2018 - 2019</t>
  </si>
  <si>
    <t xml:space="preserve">كمية الأمطار الساقطة لمواقع منتخبة ومقارنتها بالمعدل العام خلال السنة المائية (2018-2019) حسب الأشهر </t>
  </si>
  <si>
    <t xml:space="preserve">         المجموع الشهري لكمية الأمطار الساقطة خلال السنة المائية 2018-2019</t>
  </si>
  <si>
    <t>كمية التبخر من السدود والخزانات حسب الأشهر للسنة المائية (2018-2019)</t>
  </si>
  <si>
    <t>المتحقق في 2019/10/1</t>
  </si>
  <si>
    <t>عدد ونسبة مشاريع المياه حسب الطاقات التصميمية والمتاحة والمنتجة والمياه الخام المسحوبة وحسب المحافظة لسنة 2019</t>
  </si>
  <si>
    <t>عدد ونسبة المجمعات المائية حسب الطاقات التصميمية والمتاحة والمنتجة والمياه الخام المسحوبة وحسب المحافظة لسنة 2019</t>
  </si>
  <si>
    <t>عدد ونسبة محطات تحلية المياه (RO) حسب الطاقات التصميمية والمتاحة والمنتجة والمياه الخام المسحوبة وحسب المحافظة لسنة 2019</t>
  </si>
  <si>
    <t>عدد ونسبة الآبار ومحطات إنتاج المياه المنصوبة على الآبار حسب الطاقات التصميمية والمتاحة والمنتجة والمياه الخام المسحوبة وحسب المحافظة لسنة 2019</t>
  </si>
  <si>
    <t xml:space="preserve">   عدد ونسبة المحطات العاملة بالطاقة الشمسية حسب الطاقات التصميمية والمتاحة والمنتجة والمياه الخام المسحوبة وحسب المحافظة لسنة 2019</t>
  </si>
  <si>
    <t xml:space="preserve">عدد محطات إنتاج المياه الصالحة للشرب حسب النوع والحالة العملية وحسب المحافظة لسنة 2019 </t>
  </si>
  <si>
    <t xml:space="preserve">معدل كميات المياه الخام المسحوبة من المياه السطحية والجوفية لمحطات إنتاج المياه ونسبها المئوية حسب النوع والمحافظة لسنة 2019 </t>
  </si>
  <si>
    <t xml:space="preserve">معدل كميات المياه المنتجة من محطات إنتاج المياه ونسبها المئوية حسب النوع والمحافظة لسنة 2019 </t>
  </si>
  <si>
    <t>كمية المياه الخام الكلية والمنتجة ونسبة ومعدل كميات المياه المفقودة أثناء النقل بشبكة توزيع المياه وكمية المياه الموزّعة مجاناً والمباعة حسب المحافظة لسنة 2019</t>
  </si>
  <si>
    <t xml:space="preserve">عدد ونسبة السكان المخدومين بشبكات توزيع المياه الصالحة للشرب حسب البيئة والمحافظة لسنة 2019 </t>
  </si>
  <si>
    <t>عدد السكان الكلي ومعدل كميات المياه الصالحة للشرب المجهزة للسكان ومتوسط نصيب الفرد منها حسب البيئة والمحافظة لسنة 2019</t>
  </si>
  <si>
    <t>عدد السكان الكلي وعدد السكان المخدومين بشبكات توزيع المياه الصالحة للشرب ومتوسط نصيب الفرد من المياه المجهزّة للسكان الكلي و السكان المخدومين حسب البيئة والمحافظة لسنة 2019</t>
  </si>
  <si>
    <t>عدد السكان الكلي والحاجة التقديرية لكمية المياه الصالحة للشرب حسب البيئة والمحافظة لسنة 2019</t>
  </si>
  <si>
    <t>التوزيع النسبي لكمية المياه الصالحة للشرب المنتجة حسب القطاع والمحافظة لسنة 2019</t>
  </si>
  <si>
    <t>النسب المئوية لأهم المشاكل التي يعاني منها قطاع المياه في المحافظات لسنة 2019</t>
  </si>
  <si>
    <t>الحدود الدنيا والعليا ومعدل الفحوصات البكتريولوجية لماء نهر دجلة عند مآخذ مشاريع دائرة ماء بغداد لسنة 2019</t>
  </si>
  <si>
    <t xml:space="preserve">   الحدود الدنيا والعليا والمعدل لنتائج الفحوصات الكيمياوية والفيزياوية لماء النهر والشرب لمشاريع دائرة ماء بغداد لسنة 2019</t>
  </si>
  <si>
    <t xml:space="preserve"> الحدود الدنيا والعليا والمعدل لنتائج الفحوصات الكيمياوية والفيزياوية للماء الخام والشرب حسب المحافظة لسنة 2019 </t>
  </si>
  <si>
    <t>موقف الإغمار للأهوار حسب المحافظة والشهرلسنة 2019</t>
  </si>
  <si>
    <t>كمية مياه الأهوار لسنة 2019</t>
  </si>
  <si>
    <t>المعدل الشهري للتصاريف الداخلة للأهوار لسنة 2019</t>
  </si>
  <si>
    <t>عدد النماذج البكتريولوجية المفحوصة والفاشلة ونسبتها المئوية حسب المحافظة لسنة 2019</t>
  </si>
  <si>
    <t>ــ</t>
  </si>
  <si>
    <t>الرصافة</t>
  </si>
  <si>
    <t>الأنبار ، بابل ، واسط ، صلاح الدين ، القادسية ، المثنى ، ذي قار ، ميسان ، البصرة</t>
  </si>
  <si>
    <t>رافد الزاب الأعلى</t>
  </si>
  <si>
    <t>رافد نهر العظيم</t>
  </si>
  <si>
    <t xml:space="preserve">مجموع نهر دجلة وروافده عدا العظيم </t>
  </si>
  <si>
    <t xml:space="preserve">إيراد نهر الفرات في حصيبة </t>
  </si>
  <si>
    <t>زراعي</t>
  </si>
  <si>
    <t>صناعي</t>
  </si>
  <si>
    <t>بيئي</t>
  </si>
  <si>
    <t>المجموع الكلي للاستخدامات</t>
  </si>
  <si>
    <t>الكمية م3</t>
  </si>
  <si>
    <t>نوع الإستخدام</t>
  </si>
  <si>
    <t>جدول (4)</t>
  </si>
  <si>
    <t xml:space="preserve"> تم اعتماد المعدل العام بدلآ من الوسط الحسابي لوجود سنوات مفقودة في السلسلة الزمنية</t>
  </si>
  <si>
    <t xml:space="preserve">  ملاحظة : لم تسجل أمطار خلال أشهر ( حزيران، تموز، آب وأيلول)</t>
  </si>
  <si>
    <t>الخزين الحي (مليار م³)</t>
  </si>
  <si>
    <t>جدول (9)</t>
  </si>
  <si>
    <t>جدول (15)</t>
  </si>
  <si>
    <t>جدول ( 17)</t>
  </si>
  <si>
    <t>جدول ( 20)</t>
  </si>
  <si>
    <t>نينوى ، كركوك ، ديالى ، أطراف بغداد ، بابل ، كربلاء ، واسط ، صلاح الدين ، القادسية ، المثنى ، ذي قار ، ميسان ، البصرة</t>
  </si>
  <si>
    <t>الأنبار ، أطراف بغداد ، بابل ، كربلاء ، صلاح الدين ، القادسية ، المثنى ، ذي قار ، البصرة</t>
  </si>
  <si>
    <t>أطراف بغداد ، القادسية ، البصرة</t>
  </si>
  <si>
    <t>كركوك ، أطراف بغداد ، كربلاء ، صلاح الدين ، النجف ، ميسان ، البصرة</t>
  </si>
  <si>
    <t>نينوى ، الأنبار ، أطراف بغداد ، بابل ، كربلاء ، واسط ، صلاح الدين ، النجف ، القادسية ، المثنى ، ذي قار ، ميسان ، البصرة</t>
  </si>
  <si>
    <t>كركوك ، ديالى ، الأنبار ، بابل ، كربلاء ، واسط ، صلاح الدين ، القادسية ، المثنى ، ميسان</t>
  </si>
  <si>
    <t xml:space="preserve">ميسان </t>
  </si>
  <si>
    <t>تابع / جدول (25)</t>
  </si>
  <si>
    <t xml:space="preserve"> جدول (26)</t>
  </si>
  <si>
    <t xml:space="preserve"> تابع / جدول (26)</t>
  </si>
  <si>
    <r>
      <rPr>
        <b/>
        <sz val="10"/>
        <rFont val="Arial"/>
        <family val="2"/>
      </rPr>
      <t xml:space="preserve">(مليون </t>
    </r>
    <r>
      <rPr>
        <b/>
        <sz val="12"/>
        <rFont val="Arial"/>
        <family val="2"/>
      </rPr>
      <t>م³)</t>
    </r>
  </si>
  <si>
    <t>ملاحظة (1): هور الحمّار الغربي عدا كمية المياه القادمة من شط العرب</t>
  </si>
  <si>
    <t>ملاحظة (2): هور الحويزة عدا كمية المياه القادمة من الجانب الإيراني</t>
  </si>
  <si>
    <r>
      <rPr>
        <b/>
        <sz val="10"/>
        <rFont val="Arial"/>
        <family val="2"/>
      </rPr>
      <t>(</t>
    </r>
    <r>
      <rPr>
        <b/>
        <sz val="12"/>
        <rFont val="Arial"/>
        <family val="2"/>
      </rPr>
      <t>م³/ثا)</t>
    </r>
  </si>
  <si>
    <t>هور الحّمار الغربي</t>
  </si>
  <si>
    <t xml:space="preserve">معدل التصريف </t>
  </si>
  <si>
    <t>معدل التصريف</t>
  </si>
  <si>
    <t xml:space="preserve">مياه المبازل التي تصب في الانهر </t>
  </si>
  <si>
    <t>جدول (27)</t>
  </si>
  <si>
    <t>تابع/ جدول (27)</t>
  </si>
  <si>
    <t>جدول (8)</t>
  </si>
  <si>
    <t>جدول ( 13)</t>
  </si>
  <si>
    <t>جدول (14)</t>
  </si>
  <si>
    <t>جدول ( 16)</t>
  </si>
  <si>
    <t>جدول (18)</t>
  </si>
  <si>
    <t>جدول ( 19)</t>
  </si>
  <si>
    <t>جدول (22)</t>
  </si>
  <si>
    <t>ديالى ، أطراف بغداد ، بابل ، واسط ، صلاح الدين ، النجف ، القادسية ، المثنى ، ذي قار ، ميسان ، البصرة</t>
  </si>
  <si>
    <t>كركوك ، أطراف بغداد ، بابل ، صلاح الدين ، البصرة</t>
  </si>
  <si>
    <t>جدول (23)</t>
  </si>
  <si>
    <t>نسب وكميات المياه المجهزّة للإستخدامات (الزراعية، المنزلية، الصناعية والبيئية) للسنة المائية (2018-2019)</t>
  </si>
  <si>
    <t>جدول ( 29)</t>
  </si>
  <si>
    <t>الواردات المائية لنهر دجلة وروافده ونهر الفرات للسنة المائية (2018-2019) حسب الأشهر</t>
  </si>
  <si>
    <t>نصيب الفرد من واردات نهر دجلة وروافده ونهر الفرات للسنوات المائية من (2009 ـــ 2010) الى (2018 ـــ 2019)</t>
  </si>
  <si>
    <t>ديالى ، أمانة بغداد ، بابل ، صلاح الدين ، القادسية ، المثنى ، ذي قار ، ميسان ، البصرة</t>
  </si>
  <si>
    <t>جميع المحافظات</t>
  </si>
  <si>
    <t>جميع المحافظات عدا ذي قار</t>
  </si>
  <si>
    <t xml:space="preserve">الإستهلاكات أعلاه غير دقيقة  للأسباب التالية : </t>
  </si>
  <si>
    <t xml:space="preserve">السنة المائية (2018-2019) هي سنة فيضانية </t>
  </si>
  <si>
    <t xml:space="preserve">لم تؤخذ الضائعات المائية الناتجة عن جريان المياه والنتح والتبخر الناتج عن إرتفاع درجات الحرارة صيفاً بنظر الاعتبار </t>
  </si>
  <si>
    <t xml:space="preserve">هطول الامطار و ورود الموجات الفيضانية والسيول من دول الجوار </t>
  </si>
  <si>
    <t xml:space="preserve">مناسيب الخزن المتحققة في السدود والبحيرات (الخزانات) بتاريخ 2019/10/1 مقارنة مع نفس التاريخ لسنة 2018 </t>
  </si>
  <si>
    <t xml:space="preserve">المعدل </t>
  </si>
  <si>
    <t>نصيب الفرد من الواردات (م³ / سنة)</t>
  </si>
  <si>
    <t>محافظة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</si>
</sst>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00"/>
    <numFmt numFmtId="167" formatCode="_(* #,##0_);_(* \(#,##0\);_(* &quot;-&quot;??_);_(@_)"/>
    <numFmt numFmtId="168" formatCode="_(* #,##0.0_);_(* \(#,##0.0\);_(* &quot;-&quot;??_);_(@_)"/>
    <numFmt numFmtId="169" formatCode="#,##0.0"/>
    <numFmt numFmtId="170" formatCode="_-* #,##0_-;\-* #,##0_-;_-* &quot;-&quot;??_-;_-@_-"/>
    <numFmt numFmtId="171" formatCode="_-* #,##0.0_-;\-* #,##0.0_-;_-* &quot;-&quot;??_-;_-@_-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0"/>
      <name val="Arial"/>
      <family val="2"/>
    </font>
    <font>
      <b/>
      <sz val="10"/>
      <name val="Simplified Arabic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name val="Simplified Arabic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color indexed="8"/>
      <name val="Simplified Arabic"/>
      <family val="1"/>
    </font>
    <font>
      <sz val="11"/>
      <color indexed="8"/>
      <name val="Arial"/>
      <family val="2"/>
    </font>
    <font>
      <b/>
      <sz val="10"/>
      <color indexed="8"/>
      <name val="Simplified Arabic"/>
      <family val="1"/>
    </font>
    <font>
      <sz val="10"/>
      <color indexed="8"/>
      <name val="Arial"/>
      <family val="2"/>
    </font>
    <font>
      <b/>
      <sz val="8"/>
      <name val="Simplified Arabic"/>
      <family val="1"/>
    </font>
    <font>
      <b/>
      <sz val="12"/>
      <name val="Simplified Arabic"/>
      <family val="1"/>
    </font>
    <font>
      <sz val="10"/>
      <name val="Times New Roman"/>
      <family val="1"/>
    </font>
    <font>
      <b/>
      <sz val="9"/>
      <color theme="1"/>
      <name val="Times New Roman"/>
      <family val="1"/>
    </font>
    <font>
      <b/>
      <sz val="11"/>
      <color indexed="8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8"/>
      <name val="Times New Roman"/>
      <family val="1"/>
    </font>
    <font>
      <sz val="9"/>
      <color theme="1"/>
      <name val="Times New Roman"/>
      <family val="1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Simplified Arabic"/>
      <family val="1"/>
    </font>
    <font>
      <b/>
      <sz val="10"/>
      <color indexed="8"/>
      <name val="Cambria"/>
      <family val="1"/>
      <scheme val="major"/>
    </font>
    <font>
      <b/>
      <vertAlign val="superscript"/>
      <sz val="10"/>
      <name val="Arial"/>
      <family val="2"/>
    </font>
    <font>
      <sz val="11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b/>
      <sz val="9"/>
      <color indexed="8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trike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Simplified Arabic"/>
      <family val="1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0" borderId="0"/>
    <xf numFmtId="0" fontId="19" fillId="0" borderId="0"/>
  </cellStyleXfs>
  <cellXfs count="905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" fontId="7" fillId="0" borderId="2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/>
    <xf numFmtId="0" fontId="11" fillId="0" borderId="13" xfId="0" applyFont="1" applyBorder="1" applyAlignment="1">
      <alignment horizontal="center" vertical="center"/>
    </xf>
    <xf numFmtId="0" fontId="0" fillId="0" borderId="8" xfId="0" applyBorder="1"/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readingOrder="2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2" fillId="5" borderId="8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center"/>
    </xf>
    <xf numFmtId="0" fontId="0" fillId="5" borderId="0" xfId="0" applyFill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5" borderId="0" xfId="0" applyFill="1"/>
    <xf numFmtId="0" fontId="5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right" vertical="center" wrapText="1"/>
    </xf>
    <xf numFmtId="0" fontId="0" fillId="0" borderId="16" xfId="0" applyBorder="1"/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readingOrder="2"/>
    </xf>
    <xf numFmtId="0" fontId="3" fillId="0" borderId="11" xfId="0" applyFont="1" applyBorder="1" applyAlignment="1">
      <alignment horizontal="right" vertical="center" readingOrder="2"/>
    </xf>
    <xf numFmtId="0" fontId="7" fillId="0" borderId="10" xfId="0" applyFont="1" applyBorder="1" applyAlignment="1">
      <alignment vertical="center" wrapText="1"/>
    </xf>
    <xf numFmtId="43" fontId="11" fillId="0" borderId="2" xfId="1" applyFont="1" applyBorder="1" applyAlignment="1">
      <alignment horizontal="right" vertical="center"/>
    </xf>
    <xf numFmtId="43" fontId="11" fillId="0" borderId="11" xfId="1" applyFont="1" applyBorder="1" applyAlignment="1">
      <alignment horizontal="right" vertical="center"/>
    </xf>
    <xf numFmtId="2" fontId="7" fillId="0" borderId="10" xfId="0" applyNumberFormat="1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2" fontId="11" fillId="0" borderId="13" xfId="0" applyNumberFormat="1" applyFont="1" applyBorder="1" applyAlignment="1">
      <alignment vertical="center"/>
    </xf>
    <xf numFmtId="0" fontId="4" fillId="0" borderId="3" xfId="0" applyFont="1" applyBorder="1" applyAlignment="1">
      <alignment horizontal="righ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65" fontId="7" fillId="0" borderId="2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2" fontId="7" fillId="3" borderId="10" xfId="0" applyNumberFormat="1" applyFont="1" applyFill="1" applyBorder="1" applyAlignment="1">
      <alignment horizontal="right" vertical="center"/>
    </xf>
    <xf numFmtId="2" fontId="7" fillId="0" borderId="10" xfId="0" applyNumberFormat="1" applyFont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2" fontId="7" fillId="0" borderId="13" xfId="0" applyNumberFormat="1" applyFont="1" applyBorder="1" applyAlignment="1">
      <alignment horizontal="right" vertical="center"/>
    </xf>
    <xf numFmtId="2" fontId="7" fillId="3" borderId="4" xfId="0" applyNumberFormat="1" applyFont="1" applyFill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2" fontId="7" fillId="3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2" fontId="7" fillId="3" borderId="13" xfId="0" applyNumberFormat="1" applyFont="1" applyFill="1" applyBorder="1" applyAlignment="1">
      <alignment horizontal="right" vertical="center"/>
    </xf>
    <xf numFmtId="167" fontId="7" fillId="0" borderId="2" xfId="1" applyNumberFormat="1" applyFont="1" applyBorder="1" applyAlignment="1">
      <alignment vertical="center" wrapText="1"/>
    </xf>
    <xf numFmtId="167" fontId="7" fillId="5" borderId="10" xfId="1" applyNumberFormat="1" applyFont="1" applyFill="1" applyBorder="1" applyAlignment="1">
      <alignment horizontal="right" vertical="center" wrapText="1"/>
    </xf>
    <xf numFmtId="167" fontId="7" fillId="5" borderId="2" xfId="1" applyNumberFormat="1" applyFont="1" applyFill="1" applyBorder="1" applyAlignment="1">
      <alignment horizontal="right" vertical="center" wrapText="1"/>
    </xf>
    <xf numFmtId="167" fontId="7" fillId="5" borderId="11" xfId="1" applyNumberFormat="1" applyFont="1" applyFill="1" applyBorder="1" applyAlignment="1">
      <alignment horizontal="right" vertical="center" wrapText="1"/>
    </xf>
    <xf numFmtId="0" fontId="4" fillId="5" borderId="0" xfId="0" applyFont="1" applyFill="1" applyAlignment="1">
      <alignment horizontal="right"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4" fillId="5" borderId="11" xfId="0" applyFont="1" applyFill="1" applyBorder="1" applyAlignment="1">
      <alignment horizontal="right" vertical="center" wrapText="1"/>
    </xf>
    <xf numFmtId="0" fontId="4" fillId="5" borderId="10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right" vertical="center"/>
    </xf>
    <xf numFmtId="0" fontId="4" fillId="5" borderId="11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vertical="center" wrapText="1" readingOrder="2"/>
    </xf>
    <xf numFmtId="2" fontId="7" fillId="5" borderId="2" xfId="0" applyNumberFormat="1" applyFont="1" applyFill="1" applyBorder="1" applyAlignment="1">
      <alignment vertical="center" wrapText="1" readingOrder="2"/>
    </xf>
    <xf numFmtId="165" fontId="7" fillId="5" borderId="2" xfId="0" applyNumberFormat="1" applyFont="1" applyFill="1" applyBorder="1" applyAlignment="1">
      <alignment vertical="center" wrapText="1" readingOrder="2"/>
    </xf>
    <xf numFmtId="0" fontId="4" fillId="5" borderId="0" xfId="0" applyFont="1" applyFill="1" applyBorder="1" applyAlignment="1">
      <alignment horizontal="right" vertical="center" wrapText="1"/>
    </xf>
    <xf numFmtId="0" fontId="5" fillId="5" borderId="12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 wrapText="1"/>
    </xf>
    <xf numFmtId="166" fontId="7" fillId="5" borderId="2" xfId="0" applyNumberFormat="1" applyFont="1" applyFill="1" applyBorder="1" applyAlignment="1">
      <alignment vertical="center" wrapText="1" readingOrder="2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2" fontId="7" fillId="0" borderId="3" xfId="0" applyNumberFormat="1" applyFont="1" applyBorder="1" applyAlignment="1">
      <alignment vertical="center" wrapText="1"/>
    </xf>
    <xf numFmtId="167" fontId="11" fillId="0" borderId="2" xfId="1" applyNumberFormat="1" applyFont="1" applyBorder="1" applyAlignment="1">
      <alignment horizontal="right" vertical="center" readingOrder="2"/>
    </xf>
    <xf numFmtId="167" fontId="11" fillId="0" borderId="11" xfId="1" applyNumberFormat="1" applyFont="1" applyBorder="1" applyAlignment="1">
      <alignment horizontal="right" vertical="center" readingOrder="2"/>
    </xf>
    <xf numFmtId="0" fontId="25" fillId="0" borderId="5" xfId="0" applyFont="1" applyBorder="1" applyAlignment="1">
      <alignment horizontal="right" vertical="center"/>
    </xf>
    <xf numFmtId="0" fontId="4" fillId="0" borderId="5" xfId="0" applyFont="1" applyBorder="1"/>
    <xf numFmtId="0" fontId="6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readingOrder="2"/>
    </xf>
    <xf numFmtId="43" fontId="11" fillId="0" borderId="0" xfId="1" applyFont="1" applyBorder="1" applyAlignment="1">
      <alignment horizontal="right" vertical="center"/>
    </xf>
    <xf numFmtId="167" fontId="11" fillId="0" borderId="0" xfId="1" applyNumberFormat="1" applyFont="1" applyBorder="1" applyAlignment="1">
      <alignment horizontal="right" vertical="center" readingOrder="2"/>
    </xf>
    <xf numFmtId="0" fontId="7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7" fillId="5" borderId="10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0" fillId="0" borderId="0" xfId="0" applyFont="1"/>
    <xf numFmtId="0" fontId="6" fillId="0" borderId="5" xfId="0" applyFont="1" applyFill="1" applyBorder="1" applyAlignment="1">
      <alignment vertical="center"/>
    </xf>
    <xf numFmtId="2" fontId="11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2" fontId="11" fillId="0" borderId="10" xfId="0" applyNumberFormat="1" applyFont="1" applyBorder="1" applyAlignment="1">
      <alignment vertical="center"/>
    </xf>
    <xf numFmtId="2" fontId="11" fillId="0" borderId="11" xfId="0" applyNumberFormat="1" applyFont="1" applyBorder="1" applyAlignment="1">
      <alignment vertical="center"/>
    </xf>
    <xf numFmtId="167" fontId="7" fillId="5" borderId="3" xfId="1" applyNumberFormat="1" applyFont="1" applyFill="1" applyBorder="1" applyAlignment="1">
      <alignment horizontal="right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horizontal="right" vertical="center"/>
    </xf>
    <xf numFmtId="3" fontId="7" fillId="5" borderId="2" xfId="0" applyNumberFormat="1" applyFont="1" applyFill="1" applyBorder="1" applyAlignment="1">
      <alignment horizontal="right" vertical="center" wrapText="1" readingOrder="2"/>
    </xf>
    <xf numFmtId="3" fontId="7" fillId="5" borderId="2" xfId="0" applyNumberFormat="1" applyFont="1" applyFill="1" applyBorder="1" applyAlignment="1">
      <alignment vertical="center" wrapText="1" readingOrder="2"/>
    </xf>
    <xf numFmtId="3" fontId="7" fillId="5" borderId="0" xfId="0" applyNumberFormat="1" applyFont="1" applyFill="1" applyBorder="1" applyAlignment="1">
      <alignment vertical="center" wrapText="1" readingOrder="2"/>
    </xf>
    <xf numFmtId="3" fontId="7" fillId="5" borderId="11" xfId="0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 wrapText="1"/>
    </xf>
    <xf numFmtId="0" fontId="3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9" fontId="7" fillId="5" borderId="2" xfId="0" applyNumberFormat="1" applyFont="1" applyFill="1" applyBorder="1" applyAlignment="1">
      <alignment vertical="center" wrapText="1" readingOrder="2"/>
    </xf>
    <xf numFmtId="4" fontId="7" fillId="5" borderId="2" xfId="0" applyNumberFormat="1" applyFont="1" applyFill="1" applyBorder="1" applyAlignment="1">
      <alignment vertical="center" wrapText="1" readingOrder="2"/>
    </xf>
    <xf numFmtId="4" fontId="7" fillId="5" borderId="11" xfId="0" applyNumberFormat="1" applyFont="1" applyFill="1" applyBorder="1" applyAlignment="1">
      <alignment vertical="center" wrapText="1" readingOrder="2"/>
    </xf>
    <xf numFmtId="0" fontId="7" fillId="5" borderId="2" xfId="0" applyFont="1" applyFill="1" applyBorder="1" applyAlignment="1">
      <alignment horizontal="left" vertical="center" wrapText="1" readingOrder="1"/>
    </xf>
    <xf numFmtId="3" fontId="7" fillId="0" borderId="0" xfId="0" applyNumberFormat="1" applyFont="1" applyBorder="1" applyAlignment="1">
      <alignment horizontal="right" vertical="center"/>
    </xf>
    <xf numFmtId="0" fontId="12" fillId="5" borderId="0" xfId="0" applyFont="1" applyFill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167" fontId="7" fillId="0" borderId="0" xfId="1" applyNumberFormat="1" applyFont="1" applyBorder="1" applyAlignment="1">
      <alignment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8" fillId="7" borderId="13" xfId="0" applyFont="1" applyFill="1" applyBorder="1" applyAlignment="1">
      <alignment horizontal="right" vertical="center" wrapText="1"/>
    </xf>
    <xf numFmtId="0" fontId="8" fillId="7" borderId="3" xfId="0" applyFont="1" applyFill="1" applyBorder="1" applyAlignment="1">
      <alignment horizontal="right" vertical="center" wrapText="1"/>
    </xf>
    <xf numFmtId="0" fontId="4" fillId="7" borderId="13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right" vertical="center" wrapText="1"/>
    </xf>
    <xf numFmtId="0" fontId="8" fillId="7" borderId="0" xfId="0" applyFont="1" applyFill="1" applyBorder="1" applyAlignment="1">
      <alignment horizontal="right" vertical="center" wrapText="1"/>
    </xf>
    <xf numFmtId="0" fontId="8" fillId="7" borderId="13" xfId="0" applyFont="1" applyFill="1" applyBorder="1" applyAlignment="1">
      <alignment vertical="center" wrapText="1" readingOrder="2"/>
    </xf>
    <xf numFmtId="0" fontId="6" fillId="6" borderId="7" xfId="0" applyFont="1" applyFill="1" applyBorder="1" applyAlignment="1">
      <alignment horizontal="right" vertical="center" wrapText="1"/>
    </xf>
    <xf numFmtId="0" fontId="7" fillId="6" borderId="7" xfId="0" applyFont="1" applyFill="1" applyBorder="1" applyAlignment="1">
      <alignment horizontal="right" vertical="center" wrapText="1"/>
    </xf>
    <xf numFmtId="0" fontId="7" fillId="7" borderId="13" xfId="0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vertical="center" wrapText="1" readingOrder="2"/>
    </xf>
    <xf numFmtId="0" fontId="7" fillId="7" borderId="2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right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6" borderId="14" xfId="0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vertical="center" wrapText="1"/>
    </xf>
    <xf numFmtId="0" fontId="7" fillId="7" borderId="4" xfId="0" applyFont="1" applyFill="1" applyBorder="1" applyAlignment="1">
      <alignment horizontal="right" vertical="center"/>
    </xf>
    <xf numFmtId="0" fontId="8" fillId="6" borderId="3" xfId="0" applyFont="1" applyFill="1" applyBorder="1" applyAlignment="1">
      <alignment horizontal="right" vertical="center" wrapText="1"/>
    </xf>
    <xf numFmtId="2" fontId="11" fillId="0" borderId="0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169" fontId="7" fillId="0" borderId="10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 wrapText="1"/>
    </xf>
    <xf numFmtId="169" fontId="7" fillId="0" borderId="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3" fontId="7" fillId="0" borderId="12" xfId="0" applyNumberFormat="1" applyFont="1" applyFill="1" applyBorder="1" applyAlignment="1">
      <alignment vertical="center" wrapText="1"/>
    </xf>
    <xf numFmtId="169" fontId="7" fillId="0" borderId="12" xfId="0" applyNumberFormat="1" applyFont="1" applyFill="1" applyBorder="1" applyAlignment="1">
      <alignment vertical="center" wrapText="1"/>
    </xf>
    <xf numFmtId="169" fontId="7" fillId="0" borderId="3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169" fontId="7" fillId="0" borderId="1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8" fillId="7" borderId="13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7" fontId="7" fillId="0" borderId="10" xfId="1" applyNumberFormat="1" applyFont="1" applyFill="1" applyBorder="1" applyAlignment="1">
      <alignment horizontal="right" vertical="center"/>
    </xf>
    <xf numFmtId="167" fontId="7" fillId="0" borderId="2" xfId="1" applyNumberFormat="1" applyFont="1" applyFill="1" applyBorder="1" applyAlignment="1">
      <alignment horizontal="right" vertical="center"/>
    </xf>
    <xf numFmtId="167" fontId="7" fillId="0" borderId="2" xfId="1" applyNumberFormat="1" applyFont="1" applyBorder="1" applyAlignment="1">
      <alignment horizontal="right" vertical="center"/>
    </xf>
    <xf numFmtId="167" fontId="7" fillId="0" borderId="3" xfId="1" applyNumberFormat="1" applyFont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horizontal="right" vertical="center" wrapText="1" readingOrder="1"/>
    </xf>
    <xf numFmtId="0" fontId="5" fillId="5" borderId="9" xfId="0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right" vertical="center" wrapText="1" readingOrder="1"/>
    </xf>
    <xf numFmtId="0" fontId="12" fillId="0" borderId="0" xfId="0" applyFont="1" applyFill="1" applyAlignment="1">
      <alignment horizontal="right" vertical="center" wrapText="1"/>
    </xf>
    <xf numFmtId="165" fontId="7" fillId="0" borderId="2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5" fillId="0" borderId="12" xfId="3" applyFont="1" applyBorder="1" applyAlignment="1">
      <alignment horizontal="right" vertical="center" wrapText="1"/>
    </xf>
    <xf numFmtId="0" fontId="19" fillId="0" borderId="0" xfId="3"/>
    <xf numFmtId="0" fontId="15" fillId="3" borderId="2" xfId="3" applyFont="1" applyFill="1" applyBorder="1" applyAlignment="1">
      <alignment horizontal="right" vertical="center" wrapText="1"/>
    </xf>
    <xf numFmtId="0" fontId="19" fillId="0" borderId="0" xfId="3" applyBorder="1"/>
    <xf numFmtId="165" fontId="19" fillId="0" borderId="0" xfId="3" applyNumberFormat="1" applyBorder="1" applyAlignment="1"/>
    <xf numFmtId="0" fontId="15" fillId="0" borderId="2" xfId="3" applyFont="1" applyBorder="1" applyAlignment="1">
      <alignment horizontal="right" vertical="center" wrapText="1"/>
    </xf>
    <xf numFmtId="3" fontId="17" fillId="0" borderId="3" xfId="4" applyNumberFormat="1" applyFont="1" applyFill="1" applyBorder="1" applyAlignment="1">
      <alignment vertical="center" wrapText="1"/>
    </xf>
    <xf numFmtId="0" fontId="19" fillId="0" borderId="2" xfId="3" applyBorder="1"/>
    <xf numFmtId="0" fontId="15" fillId="0" borderId="2" xfId="3" applyFont="1" applyFill="1" applyBorder="1" applyAlignment="1">
      <alignment horizontal="right" vertical="center" wrapText="1"/>
    </xf>
    <xf numFmtId="0" fontId="17" fillId="0" borderId="2" xfId="4" applyFont="1" applyFill="1" applyBorder="1" applyAlignment="1">
      <alignment vertical="center" wrapText="1"/>
    </xf>
    <xf numFmtId="3" fontId="17" fillId="0" borderId="2" xfId="4" applyNumberFormat="1" applyFont="1" applyFill="1" applyBorder="1" applyAlignment="1">
      <alignment vertical="center" wrapText="1"/>
    </xf>
    <xf numFmtId="0" fontId="15" fillId="0" borderId="3" xfId="3" applyFont="1" applyFill="1" applyBorder="1" applyAlignment="1">
      <alignment horizontal="right" vertical="center" wrapText="1"/>
    </xf>
    <xf numFmtId="1" fontId="17" fillId="3" borderId="0" xfId="3" applyNumberFormat="1" applyFont="1" applyFill="1" applyBorder="1" applyAlignment="1">
      <alignment horizontal="center" vertical="center"/>
    </xf>
    <xf numFmtId="1" fontId="17" fillId="8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right" vertical="center"/>
    </xf>
    <xf numFmtId="1" fontId="17" fillId="0" borderId="0" xfId="4" applyNumberFormat="1" applyFont="1" applyFill="1" applyBorder="1" applyAlignment="1">
      <alignment horizontal="center" vertical="center" wrapText="1"/>
    </xf>
    <xf numFmtId="165" fontId="17" fillId="0" borderId="0" xfId="3" applyNumberFormat="1" applyFont="1" applyFill="1" applyBorder="1" applyAlignment="1">
      <alignment horizontal="center" vertical="center" wrapText="1"/>
    </xf>
    <xf numFmtId="1" fontId="17" fillId="0" borderId="0" xfId="3" applyNumberFormat="1" applyFont="1" applyFill="1" applyBorder="1" applyAlignment="1">
      <alignment horizontal="center" vertical="center"/>
    </xf>
    <xf numFmtId="0" fontId="0" fillId="0" borderId="17" xfId="0" applyBorder="1"/>
    <xf numFmtId="0" fontId="4" fillId="7" borderId="13" xfId="0" applyFont="1" applyFill="1" applyBorder="1" applyAlignment="1">
      <alignment horizontal="right" vertical="center" wrapText="1"/>
    </xf>
    <xf numFmtId="0" fontId="15" fillId="7" borderId="15" xfId="3" applyFont="1" applyFill="1" applyBorder="1" applyAlignment="1">
      <alignment horizontal="right" vertical="center"/>
    </xf>
    <xf numFmtId="1" fontId="17" fillId="7" borderId="15" xfId="4" applyNumberFormat="1" applyFont="1" applyFill="1" applyBorder="1" applyAlignment="1">
      <alignment vertical="center" wrapText="1"/>
    </xf>
    <xf numFmtId="3" fontId="17" fillId="7" borderId="15" xfId="3" applyNumberFormat="1" applyFont="1" applyFill="1" applyBorder="1" applyAlignment="1">
      <alignment vertical="center" wrapText="1"/>
    </xf>
    <xf numFmtId="3" fontId="17" fillId="7" borderId="15" xfId="4" applyNumberFormat="1" applyFont="1" applyFill="1" applyBorder="1" applyAlignment="1">
      <alignment vertical="center" wrapText="1"/>
    </xf>
    <xf numFmtId="0" fontId="15" fillId="7" borderId="13" xfId="0" applyFont="1" applyFill="1" applyBorder="1" applyAlignment="1">
      <alignment horizontal="right" vertical="center" wrapText="1"/>
    </xf>
    <xf numFmtId="1" fontId="20" fillId="0" borderId="0" xfId="4" applyNumberFormat="1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right" vertical="center" wrapText="1"/>
    </xf>
    <xf numFmtId="165" fontId="17" fillId="7" borderId="15" xfId="3" applyNumberFormat="1" applyFont="1" applyFill="1" applyBorder="1" applyAlignment="1">
      <alignment vertical="center" wrapText="1"/>
    </xf>
    <xf numFmtId="169" fontId="17" fillId="7" borderId="15" xfId="3" applyNumberFormat="1" applyFont="1" applyFill="1" applyBorder="1" applyAlignment="1">
      <alignment vertical="center" wrapText="1"/>
    </xf>
    <xf numFmtId="0" fontId="37" fillId="0" borderId="0" xfId="3" applyFont="1"/>
    <xf numFmtId="0" fontId="37" fillId="0" borderId="0" xfId="3" applyFont="1" applyBorder="1"/>
    <xf numFmtId="165" fontId="37" fillId="0" borderId="0" xfId="3" applyNumberFormat="1" applyFont="1" applyBorder="1" applyAlignment="1"/>
    <xf numFmtId="0" fontId="35" fillId="0" borderId="2" xfId="3" applyFont="1" applyFill="1" applyBorder="1" applyAlignment="1">
      <alignment horizontal="right" vertical="center" wrapText="1"/>
    </xf>
    <xf numFmtId="1" fontId="35" fillId="3" borderId="0" xfId="3" applyNumberFormat="1" applyFont="1" applyFill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33" fillId="0" borderId="8" xfId="3" applyFont="1" applyBorder="1" applyAlignment="1">
      <alignment vertical="center" readingOrder="2"/>
    </xf>
    <xf numFmtId="0" fontId="26" fillId="0" borderId="8" xfId="3" applyFont="1" applyBorder="1" applyAlignment="1">
      <alignment vertical="center" readingOrder="2"/>
    </xf>
    <xf numFmtId="3" fontId="17" fillId="0" borderId="2" xfId="4" applyNumberFormat="1" applyFont="1" applyFill="1" applyBorder="1" applyAlignment="1">
      <alignment vertical="center" wrapText="1" readingOrder="2"/>
    </xf>
    <xf numFmtId="0" fontId="15" fillId="0" borderId="2" xfId="3" applyFont="1" applyFill="1" applyBorder="1" applyAlignment="1">
      <alignment vertical="center" wrapText="1" readingOrder="2"/>
    </xf>
    <xf numFmtId="3" fontId="17" fillId="7" borderId="15" xfId="4" applyNumberFormat="1" applyFont="1" applyFill="1" applyBorder="1" applyAlignment="1">
      <alignment vertical="center" wrapText="1" readingOrder="2"/>
    </xf>
    <xf numFmtId="0" fontId="8" fillId="6" borderId="13" xfId="0" applyFont="1" applyFill="1" applyBorder="1" applyAlignment="1">
      <alignment vertical="center" wrapText="1" readingOrder="2"/>
    </xf>
    <xf numFmtId="0" fontId="15" fillId="0" borderId="17" xfId="0" applyFont="1" applyBorder="1" applyAlignment="1">
      <alignment vertical="center" wrapText="1" readingOrder="2"/>
    </xf>
    <xf numFmtId="167" fontId="17" fillId="7" borderId="15" xfId="1" applyNumberFormat="1" applyFont="1" applyFill="1" applyBorder="1" applyAlignment="1">
      <alignment vertical="center" wrapText="1"/>
    </xf>
    <xf numFmtId="1" fontId="17" fillId="0" borderId="2" xfId="4" applyNumberFormat="1" applyFont="1" applyFill="1" applyBorder="1" applyAlignment="1">
      <alignment vertical="center" wrapText="1"/>
    </xf>
    <xf numFmtId="0" fontId="33" fillId="3" borderId="0" xfId="3" applyFont="1" applyFill="1" applyAlignment="1">
      <alignment vertical="center"/>
    </xf>
    <xf numFmtId="0" fontId="26" fillId="3" borderId="0" xfId="3" applyFont="1" applyFill="1" applyAlignment="1">
      <alignment vertical="center"/>
    </xf>
    <xf numFmtId="0" fontId="18" fillId="0" borderId="0" xfId="3" applyFont="1" applyFill="1" applyBorder="1" applyAlignment="1">
      <alignment horizontal="center" vertical="center" wrapText="1"/>
    </xf>
    <xf numFmtId="0" fontId="8" fillId="7" borderId="13" xfId="3" applyFont="1" applyFill="1" applyBorder="1" applyAlignment="1">
      <alignment horizontal="right" vertical="center" wrapText="1"/>
    </xf>
    <xf numFmtId="0" fontId="19" fillId="0" borderId="0" xfId="4"/>
    <xf numFmtId="0" fontId="19" fillId="0" borderId="0" xfId="4" applyBorder="1"/>
    <xf numFmtId="0" fontId="19" fillId="0" borderId="17" xfId="4" applyBorder="1"/>
    <xf numFmtId="0" fontId="8" fillId="7" borderId="13" xfId="4" applyFont="1" applyFill="1" applyBorder="1" applyAlignment="1">
      <alignment horizontal="right" vertical="center" wrapText="1"/>
    </xf>
    <xf numFmtId="0" fontId="8" fillId="7" borderId="13" xfId="4" applyFont="1" applyFill="1" applyBorder="1" applyAlignment="1">
      <alignment horizontal="right" vertical="center"/>
    </xf>
    <xf numFmtId="0" fontId="19" fillId="0" borderId="2" xfId="3" applyFill="1" applyBorder="1"/>
    <xf numFmtId="0" fontId="19" fillId="0" borderId="0" xfId="3" applyFill="1"/>
    <xf numFmtId="0" fontId="17" fillId="0" borderId="2" xfId="3" applyFont="1" applyFill="1" applyBorder="1" applyAlignment="1">
      <alignment horizontal="right" vertical="center" wrapText="1"/>
    </xf>
    <xf numFmtId="0" fontId="21" fillId="0" borderId="17" xfId="3" applyFont="1" applyBorder="1"/>
    <xf numFmtId="0" fontId="17" fillId="7" borderId="15" xfId="3" applyFont="1" applyFill="1" applyBorder="1" applyAlignment="1">
      <alignment horizontal="right" vertical="center"/>
    </xf>
    <xf numFmtId="3" fontId="17" fillId="7" borderId="15" xfId="3" applyNumberFormat="1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 vertical="center" readingOrder="2"/>
    </xf>
    <xf numFmtId="0" fontId="11" fillId="0" borderId="11" xfId="0" applyFont="1" applyBorder="1" applyAlignment="1">
      <alignment horizontal="center" vertical="center" readingOrder="2"/>
    </xf>
    <xf numFmtId="165" fontId="7" fillId="0" borderId="10" xfId="0" applyNumberFormat="1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43" fontId="7" fillId="0" borderId="10" xfId="1" applyNumberFormat="1" applyFont="1" applyBorder="1" applyAlignment="1">
      <alignment vertical="center" wrapText="1"/>
    </xf>
    <xf numFmtId="0" fontId="8" fillId="6" borderId="7" xfId="0" applyFont="1" applyFill="1" applyBorder="1" applyAlignment="1">
      <alignment vertical="center" wrapText="1" readingOrder="2"/>
    </xf>
    <xf numFmtId="167" fontId="17" fillId="0" borderId="2" xfId="1" applyNumberFormat="1" applyFont="1" applyFill="1" applyBorder="1" applyAlignment="1">
      <alignment vertical="center" wrapText="1" readingOrder="2"/>
    </xf>
    <xf numFmtId="167" fontId="17" fillId="7" borderId="15" xfId="1" applyNumberFormat="1" applyFont="1" applyFill="1" applyBorder="1" applyAlignment="1">
      <alignment vertical="center" wrapText="1" readingOrder="2"/>
    </xf>
    <xf numFmtId="0" fontId="4" fillId="6" borderId="7" xfId="0" applyFont="1" applyFill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5" fillId="0" borderId="17" xfId="0" applyFont="1" applyBorder="1" applyAlignment="1">
      <alignment vertical="center" wrapText="1" readingOrder="2"/>
    </xf>
    <xf numFmtId="0" fontId="4" fillId="6" borderId="14" xfId="3" applyFont="1" applyFill="1" applyBorder="1" applyAlignment="1">
      <alignment horizontal="center" vertical="center" wrapText="1" readingOrder="2"/>
    </xf>
    <xf numFmtId="0" fontId="18" fillId="0" borderId="0" xfId="3" applyFont="1" applyFill="1" applyBorder="1" applyAlignment="1">
      <alignment horizontal="center" vertical="center" wrapText="1"/>
    </xf>
    <xf numFmtId="0" fontId="34" fillId="0" borderId="0" xfId="3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3" fontId="17" fillId="0" borderId="17" xfId="4" applyNumberFormat="1" applyFont="1" applyBorder="1" applyAlignment="1">
      <alignment horizontal="center" vertical="center" wrapText="1"/>
    </xf>
    <xf numFmtId="0" fontId="26" fillId="0" borderId="17" xfId="3" applyFont="1" applyBorder="1" applyAlignment="1">
      <alignment horizontal="center" vertical="center" readingOrder="2"/>
    </xf>
    <xf numFmtId="0" fontId="26" fillId="0" borderId="17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26" fillId="0" borderId="17" xfId="4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 readingOrder="2"/>
    </xf>
    <xf numFmtId="0" fontId="4" fillId="6" borderId="9" xfId="3" applyFont="1" applyFill="1" applyBorder="1" applyAlignment="1">
      <alignment horizontal="center" vertical="center" wrapText="1" readingOrder="2"/>
    </xf>
    <xf numFmtId="0" fontId="8" fillId="6" borderId="13" xfId="4" applyFont="1" applyFill="1" applyBorder="1" applyAlignment="1">
      <alignment horizontal="right" vertical="center"/>
    </xf>
    <xf numFmtId="0" fontId="4" fillId="6" borderId="9" xfId="4" applyFont="1" applyFill="1" applyBorder="1" applyAlignment="1">
      <alignment vertical="center" wrapText="1"/>
    </xf>
    <xf numFmtId="0" fontId="4" fillId="6" borderId="9" xfId="3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8" fillId="7" borderId="6" xfId="0" applyFont="1" applyFill="1" applyBorder="1" applyAlignment="1">
      <alignment horizontal="right" vertical="center" wrapText="1"/>
    </xf>
    <xf numFmtId="167" fontId="7" fillId="7" borderId="6" xfId="1" applyNumberFormat="1" applyFont="1" applyFill="1" applyBorder="1" applyAlignment="1">
      <alignment horizontal="right" vertical="center"/>
    </xf>
    <xf numFmtId="0" fontId="0" fillId="6" borderId="9" xfId="0" applyFill="1" applyBorder="1"/>
    <xf numFmtId="0" fontId="0" fillId="6" borderId="13" xfId="0" applyFill="1" applyBorder="1"/>
    <xf numFmtId="0" fontId="42" fillId="0" borderId="17" xfId="3" applyFont="1" applyBorder="1" applyAlignment="1">
      <alignment horizontal="center" vertical="center" readingOrder="2"/>
    </xf>
    <xf numFmtId="0" fontId="4" fillId="7" borderId="7" xfId="0" applyFont="1" applyFill="1" applyBorder="1" applyAlignment="1">
      <alignment horizontal="right" vertical="center" wrapText="1" readingOrder="2"/>
    </xf>
    <xf numFmtId="0" fontId="43" fillId="7" borderId="13" xfId="0" applyFont="1" applyFill="1" applyBorder="1" applyAlignment="1">
      <alignment horizontal="right" vertical="center" wrapText="1" readingOrder="2"/>
    </xf>
    <xf numFmtId="0" fontId="11" fillId="0" borderId="5" xfId="0" applyFont="1" applyFill="1" applyBorder="1" applyAlignment="1">
      <alignment vertical="center"/>
    </xf>
    <xf numFmtId="0" fontId="42" fillId="0" borderId="17" xfId="4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 readingOrder="2"/>
    </xf>
    <xf numFmtId="3" fontId="17" fillId="0" borderId="2" xfId="3" applyNumberFormat="1" applyFont="1" applyFill="1" applyBorder="1" applyAlignment="1">
      <alignment vertical="center" wrapText="1"/>
    </xf>
    <xf numFmtId="3" fontId="17" fillId="0" borderId="2" xfId="3" applyNumberFormat="1" applyFont="1" applyFill="1" applyBorder="1" applyAlignment="1">
      <alignment vertical="center"/>
    </xf>
    <xf numFmtId="167" fontId="7" fillId="0" borderId="3" xfId="1" applyNumberFormat="1" applyFont="1" applyFill="1" applyBorder="1" applyAlignment="1">
      <alignment horizontal="left" vertical="center" wrapText="1"/>
    </xf>
    <xf numFmtId="167" fontId="7" fillId="0" borderId="2" xfId="1" applyNumberFormat="1" applyFont="1" applyFill="1" applyBorder="1" applyAlignment="1">
      <alignment horizontal="left" vertical="center" wrapText="1"/>
    </xf>
    <xf numFmtId="2" fontId="7" fillId="0" borderId="10" xfId="0" applyNumberFormat="1" applyFont="1" applyFill="1" applyBorder="1" applyAlignment="1">
      <alignment horizontal="left" vertical="center" wrapText="1"/>
    </xf>
    <xf numFmtId="1" fontId="7" fillId="0" borderId="10" xfId="0" applyNumberFormat="1" applyFont="1" applyFill="1" applyBorder="1" applyAlignment="1">
      <alignment horizontal="left" vertical="center" wrapText="1"/>
    </xf>
    <xf numFmtId="165" fontId="7" fillId="0" borderId="10" xfId="0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left" vertical="center" wrapText="1"/>
    </xf>
    <xf numFmtId="4" fontId="7" fillId="0" borderId="10" xfId="0" applyNumberFormat="1" applyFont="1" applyFill="1" applyBorder="1" applyAlignment="1">
      <alignment horizontal="left" vertical="center" wrapText="1"/>
    </xf>
    <xf numFmtId="169" fontId="7" fillId="0" borderId="10" xfId="0" applyNumberFormat="1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169" fontId="7" fillId="0" borderId="2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169" fontId="7" fillId="0" borderId="12" xfId="0" applyNumberFormat="1" applyFont="1" applyFill="1" applyBorder="1" applyAlignment="1">
      <alignment horizontal="left" vertical="center" wrapText="1"/>
    </xf>
    <xf numFmtId="169" fontId="7" fillId="0" borderId="3" xfId="0" applyNumberFormat="1" applyFont="1" applyFill="1" applyBorder="1" applyAlignment="1">
      <alignment horizontal="left" vertical="center" wrapText="1"/>
    </xf>
    <xf numFmtId="3" fontId="7" fillId="0" borderId="3" xfId="0" applyNumberFormat="1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left" vertical="center" wrapText="1"/>
    </xf>
    <xf numFmtId="169" fontId="7" fillId="0" borderId="11" xfId="0" applyNumberFormat="1" applyFont="1" applyFill="1" applyBorder="1" applyAlignment="1">
      <alignment horizontal="left" vertical="center" wrapText="1"/>
    </xf>
    <xf numFmtId="43" fontId="7" fillId="0" borderId="10" xfId="1" applyFont="1" applyFill="1" applyBorder="1" applyAlignment="1">
      <alignment horizontal="left" vertical="center" wrapText="1"/>
    </xf>
    <xf numFmtId="167" fontId="7" fillId="0" borderId="10" xfId="1" applyNumberFormat="1" applyFont="1" applyFill="1" applyBorder="1" applyAlignment="1">
      <alignment horizontal="left" vertical="center" wrapText="1"/>
    </xf>
    <xf numFmtId="43" fontId="7" fillId="0" borderId="10" xfId="1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left" vertical="center" wrapText="1"/>
    </xf>
    <xf numFmtId="167" fontId="7" fillId="0" borderId="2" xfId="0" applyNumberFormat="1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43" fontId="7" fillId="0" borderId="2" xfId="0" applyNumberFormat="1" applyFont="1" applyFill="1" applyBorder="1" applyAlignment="1">
      <alignment horizontal="left" vertical="center" wrapText="1"/>
    </xf>
    <xf numFmtId="168" fontId="7" fillId="0" borderId="2" xfId="1" applyNumberFormat="1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167" fontId="7" fillId="0" borderId="11" xfId="1" applyNumberFormat="1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vertical="center" wrapText="1" readingOrder="2"/>
    </xf>
    <xf numFmtId="1" fontId="19" fillId="0" borderId="0" xfId="3" applyNumberFormat="1" applyBorder="1"/>
    <xf numFmtId="0" fontId="15" fillId="0" borderId="17" xfId="0" applyFont="1" applyBorder="1" applyAlignment="1">
      <alignment horizontal="right" vertical="center" wrapText="1"/>
    </xf>
    <xf numFmtId="169" fontId="17" fillId="7" borderId="15" xfId="4" applyNumberFormat="1" applyFont="1" applyFill="1" applyBorder="1" applyAlignment="1">
      <alignment vertical="center" wrapText="1"/>
    </xf>
    <xf numFmtId="3" fontId="17" fillId="0" borderId="0" xfId="3" applyNumberFormat="1" applyFont="1" applyFill="1" applyBorder="1" applyAlignment="1">
      <alignment vertical="center" wrapText="1"/>
    </xf>
    <xf numFmtId="1" fontId="17" fillId="7" borderId="15" xfId="3" applyNumberFormat="1" applyFont="1" applyFill="1" applyBorder="1" applyAlignment="1">
      <alignment vertical="center"/>
    </xf>
    <xf numFmtId="3" fontId="17" fillId="0" borderId="10" xfId="4" applyNumberFormat="1" applyFont="1" applyBorder="1" applyAlignment="1">
      <alignment horizontal="right" vertical="center" wrapText="1"/>
    </xf>
    <xf numFmtId="3" fontId="17" fillId="0" borderId="2" xfId="4" applyNumberFormat="1" applyFont="1" applyBorder="1" applyAlignment="1">
      <alignment horizontal="right" vertical="center" wrapText="1"/>
    </xf>
    <xf numFmtId="3" fontId="17" fillId="0" borderId="2" xfId="4" applyNumberFormat="1" applyFont="1" applyFill="1" applyBorder="1" applyAlignment="1">
      <alignment horizontal="right" vertical="center" wrapText="1"/>
    </xf>
    <xf numFmtId="0" fontId="17" fillId="0" borderId="10" xfId="3" applyFont="1" applyBorder="1" applyAlignment="1">
      <alignment vertical="center" wrapText="1" readingOrder="2"/>
    </xf>
    <xf numFmtId="0" fontId="17" fillId="3" borderId="2" xfId="3" applyFont="1" applyFill="1" applyBorder="1" applyAlignment="1">
      <alignment vertical="center" wrapText="1" readingOrder="2"/>
    </xf>
    <xf numFmtId="0" fontId="17" fillId="0" borderId="2" xfId="3" applyFont="1" applyBorder="1" applyAlignment="1">
      <alignment vertical="center" wrapText="1" readingOrder="2"/>
    </xf>
    <xf numFmtId="0" fontId="17" fillId="0" borderId="2" xfId="3" applyFont="1" applyFill="1" applyBorder="1" applyAlignment="1">
      <alignment vertical="center" wrapText="1" readingOrder="2"/>
    </xf>
    <xf numFmtId="0" fontId="17" fillId="0" borderId="11" xfId="3" applyFont="1" applyFill="1" applyBorder="1" applyAlignment="1">
      <alignment vertical="center" wrapText="1" readingOrder="2"/>
    </xf>
    <xf numFmtId="0" fontId="17" fillId="0" borderId="3" xfId="3" applyFont="1" applyFill="1" applyBorder="1" applyAlignment="1">
      <alignment vertical="center" wrapText="1" readingOrder="2"/>
    </xf>
    <xf numFmtId="165" fontId="17" fillId="0" borderId="2" xfId="3" applyNumberFormat="1" applyFont="1" applyBorder="1" applyAlignment="1">
      <alignment vertical="center" wrapText="1" readingOrder="2"/>
    </xf>
    <xf numFmtId="3" fontId="17" fillId="0" borderId="3" xfId="4" applyNumberFormat="1" applyFont="1" applyFill="1" applyBorder="1" applyAlignment="1">
      <alignment horizontal="right" vertical="center" wrapText="1"/>
    </xf>
    <xf numFmtId="3" fontId="17" fillId="0" borderId="11" xfId="4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167" fontId="17" fillId="0" borderId="3" xfId="1" applyNumberFormat="1" applyFont="1" applyFill="1" applyBorder="1" applyAlignment="1">
      <alignment vertical="center" wrapText="1" readingOrder="2"/>
    </xf>
    <xf numFmtId="0" fontId="4" fillId="6" borderId="1" xfId="3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readingOrder="2"/>
    </xf>
    <xf numFmtId="0" fontId="5" fillId="0" borderId="2" xfId="0" applyFont="1" applyFill="1" applyBorder="1" applyAlignment="1">
      <alignment horizontal="right" readingOrder="2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readingOrder="2"/>
    </xf>
    <xf numFmtId="0" fontId="5" fillId="0" borderId="11" xfId="0" applyFont="1" applyFill="1" applyBorder="1"/>
    <xf numFmtId="4" fontId="7" fillId="0" borderId="10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vertical="center" wrapText="1"/>
    </xf>
    <xf numFmtId="170" fontId="1" fillId="0" borderId="0" xfId="0" applyNumberFormat="1" applyFont="1" applyAlignment="1">
      <alignment vertical="center"/>
    </xf>
    <xf numFmtId="43" fontId="7" fillId="0" borderId="10" xfId="0" applyNumberFormat="1" applyFont="1" applyBorder="1" applyAlignment="1">
      <alignment vertical="center" wrapText="1"/>
    </xf>
    <xf numFmtId="43" fontId="7" fillId="0" borderId="2" xfId="1" applyNumberFormat="1" applyFont="1" applyBorder="1" applyAlignment="1">
      <alignment vertical="center" wrapText="1"/>
    </xf>
    <xf numFmtId="43" fontId="7" fillId="0" borderId="2" xfId="0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170" fontId="11" fillId="0" borderId="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readingOrder="2"/>
    </xf>
    <xf numFmtId="0" fontId="12" fillId="0" borderId="8" xfId="0" applyFont="1" applyBorder="1" applyAlignment="1">
      <alignment horizontal="center" vertical="center" wrapText="1" readingOrder="2"/>
    </xf>
    <xf numFmtId="169" fontId="17" fillId="0" borderId="2" xfId="4" applyNumberFormat="1" applyFont="1" applyFill="1" applyBorder="1" applyAlignment="1">
      <alignment vertical="center" wrapText="1"/>
    </xf>
    <xf numFmtId="165" fontId="17" fillId="0" borderId="0" xfId="3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horizontal="right" vertical="center" readingOrder="2"/>
    </xf>
    <xf numFmtId="165" fontId="19" fillId="0" borderId="9" xfId="3" applyNumberFormat="1" applyBorder="1" applyAlignment="1"/>
    <xf numFmtId="0" fontId="19" fillId="0" borderId="9" xfId="3" applyBorder="1"/>
    <xf numFmtId="165" fontId="7" fillId="0" borderId="11" xfId="0" applyNumberFormat="1" applyFont="1" applyBorder="1" applyAlignment="1">
      <alignment vertical="center" wrapText="1"/>
    </xf>
    <xf numFmtId="0" fontId="4" fillId="7" borderId="15" xfId="0" applyFont="1" applyFill="1" applyBorder="1" applyAlignment="1">
      <alignment horizontal="right" vertical="center" wrapText="1"/>
    </xf>
    <xf numFmtId="165" fontId="7" fillId="7" borderId="15" xfId="0" applyNumberFormat="1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167" fontId="7" fillId="6" borderId="0" xfId="1" applyNumberFormat="1" applyFont="1" applyFill="1" applyBorder="1" applyAlignment="1">
      <alignment vertical="center" wrapText="1"/>
    </xf>
    <xf numFmtId="167" fontId="7" fillId="7" borderId="13" xfId="1" applyNumberFormat="1" applyFont="1" applyFill="1" applyBorder="1" applyAlignment="1">
      <alignment vertical="center" wrapText="1"/>
    </xf>
    <xf numFmtId="167" fontId="7" fillId="6" borderId="7" xfId="1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167" fontId="19" fillId="0" borderId="0" xfId="1" applyNumberFormat="1" applyFont="1"/>
    <xf numFmtId="0" fontId="4" fillId="6" borderId="9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4" fillId="6" borderId="14" xfId="3" applyFont="1" applyFill="1" applyBorder="1" applyAlignment="1">
      <alignment horizontal="center" vertical="center" wrapText="1" readingOrder="2"/>
    </xf>
    <xf numFmtId="0" fontId="4" fillId="6" borderId="9" xfId="3" applyFont="1" applyFill="1" applyBorder="1" applyAlignment="1">
      <alignment horizontal="center" vertical="center" wrapText="1" readingOrder="2"/>
    </xf>
    <xf numFmtId="0" fontId="7" fillId="0" borderId="10" xfId="0" applyNumberFormat="1" applyFont="1" applyFill="1" applyBorder="1" applyAlignment="1">
      <alignment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11" xfId="1" applyNumberFormat="1" applyFont="1" applyFill="1" applyBorder="1" applyAlignment="1">
      <alignment horizontal="left" vertical="center" wrapText="1"/>
    </xf>
    <xf numFmtId="0" fontId="23" fillId="0" borderId="0" xfId="0" applyNumberFormat="1" applyFont="1" applyFill="1" applyAlignment="1">
      <alignment horizontal="center" wrapText="1"/>
    </xf>
    <xf numFmtId="0" fontId="7" fillId="0" borderId="2" xfId="0" applyFont="1" applyFill="1" applyBorder="1" applyAlignment="1">
      <alignment vertical="center" wrapText="1" readingOrder="2"/>
    </xf>
    <xf numFmtId="0" fontId="7" fillId="0" borderId="11" xfId="0" applyFont="1" applyFill="1" applyBorder="1" applyAlignment="1">
      <alignment vertical="center" wrapText="1" readingOrder="2"/>
    </xf>
    <xf numFmtId="0" fontId="7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/>
    <xf numFmtId="0" fontId="8" fillId="0" borderId="5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3" fontId="17" fillId="3" borderId="0" xfId="3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3" fontId="17" fillId="3" borderId="3" xfId="3" applyNumberFormat="1" applyFont="1" applyFill="1" applyBorder="1" applyAlignment="1">
      <alignment horizontal="left" vertical="center"/>
    </xf>
    <xf numFmtId="0" fontId="19" fillId="0" borderId="0" xfId="4" applyBorder="1" applyAlignment="1">
      <alignment horizontal="center"/>
    </xf>
    <xf numFmtId="0" fontId="19" fillId="0" borderId="0" xfId="4" applyAlignment="1">
      <alignment horizontal="center"/>
    </xf>
    <xf numFmtId="167" fontId="26" fillId="0" borderId="0" xfId="1" applyNumberFormat="1" applyFont="1" applyBorder="1" applyAlignment="1">
      <alignment horizontal="center"/>
    </xf>
    <xf numFmtId="167" fontId="19" fillId="0" borderId="0" xfId="3" applyNumberFormat="1" applyAlignment="1">
      <alignment horizontal="center"/>
    </xf>
    <xf numFmtId="1" fontId="19" fillId="0" borderId="0" xfId="3" applyNumberFormat="1" applyAlignment="1">
      <alignment horizontal="center"/>
    </xf>
    <xf numFmtId="0" fontId="19" fillId="0" borderId="0" xfId="3" applyAlignment="1">
      <alignment horizontal="center"/>
    </xf>
    <xf numFmtId="167" fontId="19" fillId="0" borderId="0" xfId="3" applyNumberFormat="1" applyBorder="1" applyAlignment="1">
      <alignment horizontal="center"/>
    </xf>
    <xf numFmtId="167" fontId="19" fillId="0" borderId="0" xfId="4" applyNumberFormat="1" applyBorder="1" applyAlignment="1">
      <alignment horizontal="center"/>
    </xf>
    <xf numFmtId="167" fontId="19" fillId="0" borderId="0" xfId="4" applyNumberFormat="1" applyAlignment="1">
      <alignment horizontal="center"/>
    </xf>
    <xf numFmtId="0" fontId="0" fillId="0" borderId="2" xfId="0" applyFill="1" applyBorder="1"/>
    <xf numFmtId="3" fontId="0" fillId="0" borderId="0" xfId="0" applyNumberFormat="1"/>
    <xf numFmtId="3" fontId="17" fillId="0" borderId="12" xfId="4" applyNumberFormat="1" applyFont="1" applyFill="1" applyBorder="1" applyAlignment="1">
      <alignment vertical="center" wrapText="1"/>
    </xf>
    <xf numFmtId="3" fontId="17" fillId="0" borderId="12" xfId="3" applyNumberFormat="1" applyFont="1" applyFill="1" applyBorder="1" applyAlignment="1">
      <alignment horizontal="right" vertical="center"/>
    </xf>
    <xf numFmtId="0" fontId="19" fillId="0" borderId="0" xfId="3" applyFill="1" applyBorder="1"/>
    <xf numFmtId="0" fontId="19" fillId="0" borderId="0" xfId="3" applyFill="1" applyBorder="1" applyAlignment="1"/>
    <xf numFmtId="165" fontId="17" fillId="0" borderId="2" xfId="3" applyNumberFormat="1" applyFont="1" applyFill="1" applyBorder="1" applyAlignment="1">
      <alignment vertical="center" wrapText="1"/>
    </xf>
    <xf numFmtId="1" fontId="19" fillId="0" borderId="0" xfId="4" applyNumberFormat="1"/>
    <xf numFmtId="167" fontId="19" fillId="0" borderId="0" xfId="4" applyNumberFormat="1"/>
    <xf numFmtId="165" fontId="17" fillId="0" borderId="11" xfId="3" applyNumberFormat="1" applyFont="1" applyBorder="1" applyAlignment="1">
      <alignment vertical="center" wrapText="1" readingOrder="2"/>
    </xf>
    <xf numFmtId="1" fontId="19" fillId="0" borderId="0" xfId="4" applyNumberFormat="1" applyAlignment="1">
      <alignment horizontal="center"/>
    </xf>
    <xf numFmtId="167" fontId="7" fillId="0" borderId="12" xfId="1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right" vertical="center" wrapText="1"/>
    </xf>
    <xf numFmtId="2" fontId="7" fillId="7" borderId="15" xfId="0" applyNumberFormat="1" applyFont="1" applyFill="1" applyBorder="1" applyAlignment="1">
      <alignment vertical="center" wrapText="1"/>
    </xf>
    <xf numFmtId="43" fontId="7" fillId="7" borderId="15" xfId="1" applyNumberFormat="1" applyFont="1" applyFill="1" applyBorder="1" applyAlignment="1">
      <alignment horizontal="right" vertical="center" wrapText="1"/>
    </xf>
    <xf numFmtId="2" fontId="7" fillId="0" borderId="10" xfId="0" applyNumberFormat="1" applyFont="1" applyBorder="1" applyAlignment="1">
      <alignment vertical="center" wrapText="1" readingOrder="2"/>
    </xf>
    <xf numFmtId="2" fontId="7" fillId="0" borderId="2" xfId="0" applyNumberFormat="1" applyFont="1" applyBorder="1" applyAlignment="1">
      <alignment vertical="center" wrapText="1" readingOrder="2"/>
    </xf>
    <xf numFmtId="2" fontId="7" fillId="0" borderId="3" xfId="0" applyNumberFormat="1" applyFont="1" applyBorder="1" applyAlignment="1">
      <alignment vertical="center" wrapText="1" readingOrder="2"/>
    </xf>
    <xf numFmtId="2" fontId="7" fillId="0" borderId="2" xfId="0" applyNumberFormat="1" applyFont="1" applyFill="1" applyBorder="1" applyAlignment="1">
      <alignment vertical="center" wrapText="1" readingOrder="2"/>
    </xf>
    <xf numFmtId="2" fontId="7" fillId="0" borderId="3" xfId="0" applyNumberFormat="1" applyFont="1" applyFill="1" applyBorder="1" applyAlignment="1">
      <alignment vertical="center" wrapText="1" readingOrder="2"/>
    </xf>
    <xf numFmtId="2" fontId="7" fillId="7" borderId="15" xfId="0" applyNumberFormat="1" applyFont="1" applyFill="1" applyBorder="1" applyAlignment="1">
      <alignment vertical="center" wrapText="1" readingOrder="2"/>
    </xf>
    <xf numFmtId="3" fontId="7" fillId="0" borderId="19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vertical="center" readingOrder="2"/>
    </xf>
    <xf numFmtId="169" fontId="7" fillId="0" borderId="24" xfId="0" applyNumberFormat="1" applyFont="1" applyBorder="1" applyAlignment="1">
      <alignment vertical="center" readingOrder="2"/>
    </xf>
    <xf numFmtId="3" fontId="7" fillId="0" borderId="19" xfId="0" applyNumberFormat="1" applyFont="1" applyBorder="1" applyAlignment="1">
      <alignment vertical="center" readingOrder="2"/>
    </xf>
    <xf numFmtId="169" fontId="7" fillId="0" borderId="19" xfId="0" applyNumberFormat="1" applyFont="1" applyBorder="1" applyAlignment="1">
      <alignment vertical="center" readingOrder="2"/>
    </xf>
    <xf numFmtId="3" fontId="7" fillId="0" borderId="21" xfId="0" applyNumberFormat="1" applyFont="1" applyBorder="1" applyAlignment="1">
      <alignment vertical="center" readingOrder="2"/>
    </xf>
    <xf numFmtId="169" fontId="7" fillId="0" borderId="21" xfId="0" applyNumberFormat="1" applyFont="1" applyBorder="1" applyAlignment="1">
      <alignment vertical="center" readingOrder="2"/>
    </xf>
    <xf numFmtId="0" fontId="8" fillId="3" borderId="0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vertical="center" readingOrder="2"/>
    </xf>
    <xf numFmtId="169" fontId="7" fillId="0" borderId="0" xfId="0" applyNumberFormat="1" applyFont="1" applyBorder="1" applyAlignment="1">
      <alignment vertical="center" readingOrder="2"/>
    </xf>
    <xf numFmtId="167" fontId="7" fillId="0" borderId="0" xfId="1" applyNumberFormat="1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" fontId="7" fillId="0" borderId="23" xfId="0" applyNumberFormat="1" applyFont="1" applyBorder="1" applyAlignment="1">
      <alignment vertical="center" readingOrder="2"/>
    </xf>
    <xf numFmtId="3" fontId="7" fillId="0" borderId="20" xfId="0" applyNumberFormat="1" applyFont="1" applyBorder="1" applyAlignment="1">
      <alignment vertical="center" readingOrder="2"/>
    </xf>
    <xf numFmtId="3" fontId="7" fillId="0" borderId="22" xfId="0" applyNumberFormat="1" applyFont="1" applyBorder="1" applyAlignment="1">
      <alignment vertical="center" readingOrder="2"/>
    </xf>
    <xf numFmtId="167" fontId="1" fillId="0" borderId="0" xfId="1" applyNumberFormat="1" applyFont="1" applyAlignment="1">
      <alignment vertical="center"/>
    </xf>
    <xf numFmtId="1" fontId="7" fillId="0" borderId="0" xfId="0" applyNumberFormat="1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vertical="center" readingOrder="2"/>
    </xf>
    <xf numFmtId="169" fontId="7" fillId="0" borderId="17" xfId="0" applyNumberFormat="1" applyFont="1" applyBorder="1" applyAlignment="1">
      <alignment vertical="center" readingOrder="2"/>
    </xf>
    <xf numFmtId="0" fontId="6" fillId="0" borderId="0" xfId="0" applyFont="1" applyBorder="1" applyAlignment="1">
      <alignment horizontal="center" vertical="center"/>
    </xf>
    <xf numFmtId="0" fontId="15" fillId="0" borderId="9" xfId="3" applyFont="1" applyFill="1" applyBorder="1" applyAlignment="1">
      <alignment horizontal="right" vertical="center" wrapText="1" readingOrder="2"/>
    </xf>
    <xf numFmtId="3" fontId="7" fillId="7" borderId="20" xfId="0" applyNumberFormat="1" applyFont="1" applyFill="1" applyBorder="1" applyAlignment="1">
      <alignment vertical="center" readingOrder="2"/>
    </xf>
    <xf numFmtId="3" fontId="7" fillId="7" borderId="19" xfId="0" applyNumberFormat="1" applyFont="1" applyFill="1" applyBorder="1" applyAlignment="1">
      <alignment vertical="center" readingOrder="2"/>
    </xf>
    <xf numFmtId="169" fontId="7" fillId="7" borderId="19" xfId="0" applyNumberFormat="1" applyFont="1" applyFill="1" applyBorder="1" applyAlignment="1">
      <alignment vertical="center" readingOrder="2"/>
    </xf>
    <xf numFmtId="3" fontId="7" fillId="7" borderId="26" xfId="0" applyNumberFormat="1" applyFont="1" applyFill="1" applyBorder="1" applyAlignment="1">
      <alignment vertical="center" readingOrder="2"/>
    </xf>
    <xf numFmtId="3" fontId="7" fillId="7" borderId="25" xfId="0" applyNumberFormat="1" applyFont="1" applyFill="1" applyBorder="1" applyAlignment="1">
      <alignment vertical="center" readingOrder="2"/>
    </xf>
    <xf numFmtId="169" fontId="7" fillId="7" borderId="25" xfId="0" applyNumberFormat="1" applyFont="1" applyFill="1" applyBorder="1" applyAlignment="1">
      <alignment vertical="center" readingOrder="2"/>
    </xf>
    <xf numFmtId="169" fontId="7" fillId="0" borderId="0" xfId="0" applyNumberFormat="1" applyFont="1" applyFill="1" applyBorder="1" applyAlignment="1">
      <alignment vertical="center" readingOrder="2"/>
    </xf>
    <xf numFmtId="0" fontId="12" fillId="0" borderId="0" xfId="0" applyFont="1" applyAlignment="1">
      <alignment horizontal="right" vertical="center" wrapText="1"/>
    </xf>
    <xf numFmtId="167" fontId="7" fillId="0" borderId="10" xfId="1" applyNumberFormat="1" applyFont="1" applyFill="1" applyBorder="1" applyAlignment="1">
      <alignment vertical="center" wrapText="1"/>
    </xf>
    <xf numFmtId="167" fontId="7" fillId="0" borderId="2" xfId="1" applyNumberFormat="1" applyFont="1" applyFill="1" applyBorder="1" applyAlignment="1">
      <alignment vertical="center" wrapText="1"/>
    </xf>
    <xf numFmtId="0" fontId="7" fillId="0" borderId="11" xfId="0" applyNumberFormat="1" applyFont="1" applyFill="1" applyBorder="1" applyAlignment="1">
      <alignment vertical="center" wrapText="1"/>
    </xf>
    <xf numFmtId="167" fontId="7" fillId="0" borderId="2" xfId="1" applyNumberFormat="1" applyFont="1" applyFill="1" applyBorder="1" applyAlignment="1">
      <alignment horizontal="right" vertical="center" wrapText="1"/>
    </xf>
    <xf numFmtId="169" fontId="7" fillId="7" borderId="26" xfId="0" applyNumberFormat="1" applyFont="1" applyFill="1" applyBorder="1" applyAlignment="1">
      <alignment vertical="center" readingOrder="2"/>
    </xf>
    <xf numFmtId="0" fontId="44" fillId="0" borderId="0" xfId="0" applyFont="1" applyBorder="1" applyAlignment="1">
      <alignment horizontal="right" vertical="center" wrapText="1"/>
    </xf>
    <xf numFmtId="169" fontId="0" fillId="0" borderId="0" xfId="0" applyNumberFormat="1"/>
    <xf numFmtId="169" fontId="7" fillId="0" borderId="23" xfId="0" applyNumberFormat="1" applyFont="1" applyBorder="1" applyAlignment="1">
      <alignment vertical="center" readingOrder="2"/>
    </xf>
    <xf numFmtId="169" fontId="7" fillId="7" borderId="23" xfId="0" applyNumberFormat="1" applyFont="1" applyFill="1" applyBorder="1" applyAlignment="1">
      <alignment vertical="center" readingOrder="2"/>
    </xf>
    <xf numFmtId="169" fontId="0" fillId="0" borderId="0" xfId="0" applyNumberFormat="1" applyBorder="1"/>
    <xf numFmtId="0" fontId="4" fillId="0" borderId="0" xfId="0" applyFont="1" applyBorder="1" applyAlignment="1">
      <alignment horizontal="right" vertical="center" wrapText="1" readingOrder="2"/>
    </xf>
    <xf numFmtId="0" fontId="8" fillId="0" borderId="0" xfId="0" applyFont="1" applyFill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4" fillId="6" borderId="9" xfId="3" applyFont="1" applyFill="1" applyBorder="1" applyAlignment="1">
      <alignment horizontal="right" vertical="center" wrapText="1"/>
    </xf>
    <xf numFmtId="0" fontId="4" fillId="6" borderId="7" xfId="3" applyFont="1" applyFill="1" applyBorder="1" applyAlignment="1">
      <alignment horizontal="right" vertical="center" wrapText="1"/>
    </xf>
    <xf numFmtId="3" fontId="19" fillId="0" borderId="0" xfId="3" applyNumberFormat="1"/>
    <xf numFmtId="2" fontId="0" fillId="0" borderId="0" xfId="0" applyNumberFormat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4" fontId="7" fillId="5" borderId="11" xfId="0" applyNumberFormat="1" applyFont="1" applyFill="1" applyBorder="1" applyAlignment="1">
      <alignment vertical="center" wrapText="1" readingOrder="1"/>
    </xf>
    <xf numFmtId="169" fontId="7" fillId="0" borderId="5" xfId="0" applyNumberFormat="1" applyFont="1" applyBorder="1" applyAlignment="1">
      <alignment vertical="center" readingOrder="2"/>
    </xf>
    <xf numFmtId="3" fontId="7" fillId="0" borderId="5" xfId="0" applyNumberFormat="1" applyFont="1" applyBorder="1" applyAlignment="1">
      <alignment horizontal="center" vertical="center" readingOrder="2"/>
    </xf>
    <xf numFmtId="0" fontId="8" fillId="0" borderId="5" xfId="0" applyFont="1" applyFill="1" applyBorder="1" applyAlignment="1">
      <alignment horizontal="left" vertical="center"/>
    </xf>
    <xf numFmtId="4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/>
    </xf>
    <xf numFmtId="4" fontId="7" fillId="0" borderId="1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168" fontId="17" fillId="3" borderId="12" xfId="1" applyNumberFormat="1" applyFont="1" applyFill="1" applyBorder="1" applyAlignment="1">
      <alignment vertical="center" readingOrder="2"/>
    </xf>
    <xf numFmtId="167" fontId="17" fillId="7" borderId="15" xfId="1" applyNumberFormat="1" applyFont="1" applyFill="1" applyBorder="1" applyAlignment="1">
      <alignment vertical="center"/>
    </xf>
    <xf numFmtId="43" fontId="7" fillId="0" borderId="2" xfId="1" applyNumberFormat="1" applyFont="1" applyFill="1" applyBorder="1" applyAlignment="1">
      <alignment horizontal="left" vertical="center" wrapText="1"/>
    </xf>
    <xf numFmtId="167" fontId="7" fillId="0" borderId="12" xfId="1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 readingOrder="2"/>
    </xf>
    <xf numFmtId="0" fontId="39" fillId="0" borderId="0" xfId="3" applyFont="1" applyFill="1" applyBorder="1" applyAlignment="1">
      <alignment horizontal="right" vertical="center" readingOrder="2"/>
    </xf>
    <xf numFmtId="0" fontId="4" fillId="6" borderId="9" xfId="4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vertical="center" wrapText="1" readingOrder="1"/>
    </xf>
    <xf numFmtId="167" fontId="7" fillId="0" borderId="2" xfId="1" applyNumberFormat="1" applyFont="1" applyBorder="1" applyAlignment="1">
      <alignment vertical="center" wrapText="1" readingOrder="2"/>
    </xf>
    <xf numFmtId="1" fontId="17" fillId="0" borderId="3" xfId="3" applyNumberFormat="1" applyFont="1" applyFill="1" applyBorder="1" applyAlignment="1">
      <alignment vertical="center" wrapText="1"/>
    </xf>
    <xf numFmtId="1" fontId="19" fillId="0" borderId="0" xfId="3" applyNumberFormat="1"/>
    <xf numFmtId="1" fontId="17" fillId="0" borderId="2" xfId="3" applyNumberFormat="1" applyFont="1" applyFill="1" applyBorder="1" applyAlignment="1">
      <alignment horizontal="right" vertical="center"/>
    </xf>
    <xf numFmtId="169" fontId="17" fillId="0" borderId="2" xfId="3" applyNumberFormat="1" applyFont="1" applyFill="1" applyBorder="1" applyAlignment="1">
      <alignment vertical="center" wrapText="1"/>
    </xf>
    <xf numFmtId="169" fontId="17" fillId="0" borderId="2" xfId="3" applyNumberFormat="1" applyFont="1" applyFill="1" applyBorder="1" applyAlignment="1">
      <alignment vertical="center"/>
    </xf>
    <xf numFmtId="0" fontId="9" fillId="0" borderId="0" xfId="0" applyFont="1" applyBorder="1" applyAlignment="1">
      <alignment horizontal="right" vertical="center" wrapText="1" readingOrder="2"/>
    </xf>
    <xf numFmtId="0" fontId="8" fillId="3" borderId="0" xfId="0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readingOrder="2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3" fontId="0" fillId="0" borderId="0" xfId="0" applyNumberFormat="1"/>
    <xf numFmtId="0" fontId="4" fillId="6" borderId="1" xfId="0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7" fontId="7" fillId="0" borderId="0" xfId="1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 wrapText="1"/>
    </xf>
    <xf numFmtId="0" fontId="45" fillId="0" borderId="0" xfId="0" applyFont="1"/>
    <xf numFmtId="0" fontId="4" fillId="0" borderId="1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165" fontId="17" fillId="0" borderId="12" xfId="3" applyNumberFormat="1" applyFont="1" applyFill="1" applyBorder="1" applyAlignment="1">
      <alignment horizontal="right" vertical="center"/>
    </xf>
    <xf numFmtId="167" fontId="17" fillId="0" borderId="3" xfId="1" applyNumberFormat="1" applyFont="1" applyFill="1" applyBorder="1" applyAlignment="1">
      <alignment vertical="center" wrapText="1"/>
    </xf>
    <xf numFmtId="171" fontId="17" fillId="0" borderId="3" xfId="1" applyNumberFormat="1" applyFont="1" applyFill="1" applyBorder="1" applyAlignment="1">
      <alignment vertical="center" wrapText="1"/>
    </xf>
    <xf numFmtId="165" fontId="17" fillId="0" borderId="3" xfId="3" applyNumberFormat="1" applyFont="1" applyFill="1" applyBorder="1" applyAlignment="1">
      <alignment vertical="center" wrapText="1"/>
    </xf>
    <xf numFmtId="3" fontId="17" fillId="0" borderId="3" xfId="3" applyNumberFormat="1" applyFont="1" applyFill="1" applyBorder="1" applyAlignment="1">
      <alignment vertical="center" wrapText="1"/>
    </xf>
    <xf numFmtId="167" fontId="17" fillId="0" borderId="2" xfId="1" applyNumberFormat="1" applyFont="1" applyFill="1" applyBorder="1" applyAlignment="1">
      <alignment vertical="center" wrapText="1"/>
    </xf>
    <xf numFmtId="171" fontId="17" fillId="0" borderId="2" xfId="1" applyNumberFormat="1" applyFont="1" applyFill="1" applyBorder="1" applyAlignment="1">
      <alignment vertical="center" wrapText="1"/>
    </xf>
    <xf numFmtId="169" fontId="17" fillId="0" borderId="2" xfId="4" applyNumberFormat="1" applyFont="1" applyFill="1" applyBorder="1" applyAlignment="1">
      <alignment vertical="center" wrapText="1" readingOrder="2"/>
    </xf>
    <xf numFmtId="1" fontId="34" fillId="0" borderId="0" xfId="3" applyNumberFormat="1" applyFont="1" applyFill="1" applyBorder="1" applyAlignment="1">
      <alignment horizontal="center" vertical="center" wrapText="1"/>
    </xf>
    <xf numFmtId="1" fontId="19" fillId="0" borderId="0" xfId="3" applyNumberFormat="1" applyFill="1" applyBorder="1" applyAlignment="1"/>
    <xf numFmtId="1" fontId="19" fillId="0" borderId="0" xfId="3" applyNumberFormat="1" applyFill="1" applyBorder="1"/>
    <xf numFmtId="1" fontId="18" fillId="0" borderId="0" xfId="3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65" fontId="17" fillId="0" borderId="5" xfId="3" applyNumberFormat="1" applyFont="1" applyBorder="1" applyAlignment="1">
      <alignment vertical="center" wrapText="1" readingOrder="2"/>
    </xf>
    <xf numFmtId="0" fontId="8" fillId="0" borderId="5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right" vertical="center" wrapText="1"/>
    </xf>
    <xf numFmtId="167" fontId="7" fillId="0" borderId="10" xfId="1" applyNumberFormat="1" applyFont="1" applyBorder="1" applyAlignment="1">
      <alignment vertical="center" wrapText="1"/>
    </xf>
    <xf numFmtId="167" fontId="7" fillId="0" borderId="10" xfId="1" applyNumberFormat="1" applyFont="1" applyFill="1" applyBorder="1" applyAlignment="1">
      <alignment vertical="center"/>
    </xf>
    <xf numFmtId="168" fontId="17" fillId="7" borderId="15" xfId="1" applyNumberFormat="1" applyFont="1" applyFill="1" applyBorder="1" applyAlignment="1">
      <alignment vertical="center"/>
    </xf>
    <xf numFmtId="0" fontId="21" fillId="0" borderId="0" xfId="3" applyFont="1"/>
    <xf numFmtId="0" fontId="4" fillId="6" borderId="9" xfId="4" applyFont="1" applyFill="1" applyBorder="1" applyAlignment="1">
      <alignment horizontal="center" vertical="center" wrapText="1"/>
    </xf>
    <xf numFmtId="43" fontId="7" fillId="7" borderId="15" xfId="1" applyFont="1" applyFill="1" applyBorder="1" applyAlignment="1">
      <alignment horizontal="center" vertical="center" wrapText="1"/>
    </xf>
    <xf numFmtId="165" fontId="17" fillId="0" borderId="2" xfId="4" applyNumberFormat="1" applyFont="1" applyFill="1" applyBorder="1" applyAlignment="1">
      <alignment vertical="center" wrapText="1"/>
    </xf>
    <xf numFmtId="165" fontId="17" fillId="0" borderId="0" xfId="3" applyNumberFormat="1" applyFont="1" applyFill="1" applyBorder="1" applyAlignment="1">
      <alignment horizontal="center" vertical="center"/>
    </xf>
    <xf numFmtId="165" fontId="19" fillId="0" borderId="0" xfId="3" applyNumberFormat="1" applyFill="1" applyBorder="1" applyAlignment="1"/>
    <xf numFmtId="165" fontId="17" fillId="0" borderId="12" xfId="4" applyNumberFormat="1" applyFont="1" applyFill="1" applyBorder="1" applyAlignment="1">
      <alignment vertical="center" wrapText="1"/>
    </xf>
    <xf numFmtId="0" fontId="19" fillId="0" borderId="0" xfId="3" applyFill="1" applyAlignment="1"/>
    <xf numFmtId="1" fontId="17" fillId="0" borderId="12" xfId="4" applyNumberFormat="1" applyFont="1" applyFill="1" applyBorder="1" applyAlignment="1">
      <alignment vertical="center" wrapText="1"/>
    </xf>
    <xf numFmtId="165" fontId="17" fillId="0" borderId="12" xfId="3" applyNumberFormat="1" applyFont="1" applyFill="1" applyBorder="1" applyAlignment="1">
      <alignment vertical="center" wrapText="1"/>
    </xf>
    <xf numFmtId="165" fontId="17" fillId="0" borderId="2" xfId="3" applyNumberFormat="1" applyFont="1" applyFill="1" applyBorder="1" applyAlignment="1">
      <alignment horizontal="right" vertical="center"/>
    </xf>
    <xf numFmtId="165" fontId="35" fillId="0" borderId="0" xfId="3" applyNumberFormat="1" applyFont="1" applyFill="1" applyBorder="1" applyAlignment="1">
      <alignment horizontal="center" vertical="center"/>
    </xf>
    <xf numFmtId="0" fontId="37" fillId="0" borderId="0" xfId="3" applyFont="1" applyFill="1" applyBorder="1"/>
    <xf numFmtId="165" fontId="37" fillId="0" borderId="0" xfId="3" applyNumberFormat="1" applyFont="1" applyFill="1" applyBorder="1" applyAlignment="1"/>
    <xf numFmtId="0" fontId="37" fillId="0" borderId="0" xfId="3" applyFont="1" applyFill="1" applyBorder="1" applyAlignment="1"/>
    <xf numFmtId="0" fontId="37" fillId="0" borderId="0" xfId="3" applyFont="1" applyFill="1" applyAlignment="1"/>
    <xf numFmtId="0" fontId="37" fillId="0" borderId="0" xfId="3" applyFont="1" applyFill="1"/>
    <xf numFmtId="12" fontId="17" fillId="0" borderId="3" xfId="1" applyNumberFormat="1" applyFont="1" applyFill="1" applyBorder="1" applyAlignment="1">
      <alignment vertical="center" wrapText="1"/>
    </xf>
    <xf numFmtId="3" fontId="0" fillId="0" borderId="0" xfId="0" applyNumberFormat="1" applyFill="1"/>
    <xf numFmtId="0" fontId="40" fillId="0" borderId="0" xfId="3" applyFont="1" applyFill="1"/>
    <xf numFmtId="167" fontId="26" fillId="0" borderId="0" xfId="1" applyNumberFormat="1" applyFont="1" applyFill="1" applyBorder="1" applyAlignment="1">
      <alignment horizontal="center"/>
    </xf>
    <xf numFmtId="0" fontId="19" fillId="0" borderId="0" xfId="3" applyNumberFormat="1" applyFill="1" applyAlignment="1">
      <alignment horizontal="center"/>
    </xf>
    <xf numFmtId="167" fontId="19" fillId="0" borderId="0" xfId="3" applyNumberFormat="1" applyFill="1" applyAlignment="1">
      <alignment horizontal="center"/>
    </xf>
    <xf numFmtId="1" fontId="19" fillId="0" borderId="0" xfId="4" applyNumberFormat="1" applyFill="1" applyAlignment="1">
      <alignment horizontal="center"/>
    </xf>
    <xf numFmtId="0" fontId="37" fillId="0" borderId="2" xfId="3" applyFont="1" applyFill="1" applyBorder="1"/>
    <xf numFmtId="3" fontId="17" fillId="0" borderId="12" xfId="3" applyNumberFormat="1" applyFont="1" applyFill="1" applyBorder="1" applyAlignment="1">
      <alignment vertical="center"/>
    </xf>
    <xf numFmtId="167" fontId="19" fillId="0" borderId="2" xfId="3" applyNumberForma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26" fillId="0" borderId="0" xfId="3" applyFont="1" applyFill="1"/>
    <xf numFmtId="0" fontId="38" fillId="0" borderId="0" xfId="3" applyFont="1" applyFill="1" applyBorder="1" applyAlignment="1"/>
    <xf numFmtId="0" fontId="38" fillId="0" borderId="0" xfId="3" applyFont="1" applyFill="1" applyAlignment="1"/>
    <xf numFmtId="0" fontId="38" fillId="0" borderId="0" xfId="3" applyFont="1" applyFill="1"/>
    <xf numFmtId="3" fontId="17" fillId="0" borderId="2" xfId="3" applyNumberFormat="1" applyFont="1" applyFill="1" applyBorder="1" applyAlignment="1">
      <alignment horizontal="right" vertical="center"/>
    </xf>
    <xf numFmtId="1" fontId="19" fillId="0" borderId="0" xfId="3" applyNumberFormat="1" applyFill="1" applyAlignment="1">
      <alignment horizontal="center"/>
    </xf>
    <xf numFmtId="169" fontId="17" fillId="0" borderId="2" xfId="3" applyNumberFormat="1" applyFont="1" applyFill="1" applyBorder="1" applyAlignment="1">
      <alignment horizontal="right" vertical="center"/>
    </xf>
    <xf numFmtId="0" fontId="15" fillId="0" borderId="12" xfId="3" applyFont="1" applyFill="1" applyBorder="1" applyAlignment="1">
      <alignment horizontal="right" vertical="center" wrapText="1"/>
    </xf>
    <xf numFmtId="0" fontId="26" fillId="0" borderId="0" xfId="3" applyFont="1" applyFill="1" applyBorder="1" applyAlignment="1"/>
    <xf numFmtId="0" fontId="26" fillId="0" borderId="0" xfId="3" applyFont="1" applyFill="1" applyAlignment="1"/>
    <xf numFmtId="3" fontId="17" fillId="0" borderId="12" xfId="3" applyNumberFormat="1" applyFont="1" applyFill="1" applyBorder="1" applyAlignment="1">
      <alignment vertical="center" wrapText="1"/>
    </xf>
    <xf numFmtId="0" fontId="17" fillId="0" borderId="12" xfId="4" applyFont="1" applyFill="1" applyBorder="1" applyAlignment="1">
      <alignment vertical="center" wrapText="1"/>
    </xf>
    <xf numFmtId="165" fontId="19" fillId="0" borderId="0" xfId="3" applyNumberFormat="1" applyFill="1" applyAlignment="1"/>
    <xf numFmtId="165" fontId="37" fillId="0" borderId="0" xfId="3" applyNumberFormat="1" applyFont="1" applyFill="1" applyAlignment="1"/>
    <xf numFmtId="1" fontId="17" fillId="0" borderId="3" xfId="4" applyNumberFormat="1" applyFont="1" applyFill="1" applyBorder="1" applyAlignment="1">
      <alignment vertical="center" wrapText="1"/>
    </xf>
    <xf numFmtId="169" fontId="17" fillId="0" borderId="12" xfId="4" applyNumberFormat="1" applyFont="1" applyFill="1" applyBorder="1" applyAlignment="1">
      <alignment vertical="center" wrapText="1"/>
    </xf>
    <xf numFmtId="1" fontId="26" fillId="0" borderId="0" xfId="3" applyNumberFormat="1" applyFont="1" applyFill="1" applyBorder="1"/>
    <xf numFmtId="0" fontId="26" fillId="0" borderId="0" xfId="3" applyFont="1" applyFill="1" applyBorder="1"/>
    <xf numFmtId="1" fontId="19" fillId="0" borderId="2" xfId="3" applyNumberFormat="1" applyFill="1" applyBorder="1" applyAlignment="1">
      <alignment horizontal="center"/>
    </xf>
    <xf numFmtId="1" fontId="20" fillId="0" borderId="0" xfId="3" applyNumberFormat="1" applyFont="1" applyFill="1" applyBorder="1" applyAlignment="1">
      <alignment horizontal="right" vertical="center" readingOrder="2"/>
    </xf>
    <xf numFmtId="0" fontId="15" fillId="0" borderId="0" xfId="3" applyFont="1" applyFill="1" applyBorder="1" applyAlignment="1">
      <alignment horizontal="right" vertical="center"/>
    </xf>
    <xf numFmtId="0" fontId="17" fillId="0" borderId="3" xfId="4" applyFont="1" applyFill="1" applyBorder="1" applyAlignment="1">
      <alignment vertical="center" wrapText="1"/>
    </xf>
    <xf numFmtId="164" fontId="19" fillId="0" borderId="2" xfId="3" applyNumberFormat="1" applyFill="1" applyBorder="1" applyAlignment="1">
      <alignment horizontal="center" vertical="center"/>
    </xf>
    <xf numFmtId="1" fontId="17" fillId="0" borderId="0" xfId="4" applyNumberFormat="1" applyFont="1" applyFill="1" applyBorder="1" applyAlignment="1">
      <alignment vertical="center" wrapText="1"/>
    </xf>
    <xf numFmtId="3" fontId="17" fillId="0" borderId="11" xfId="4" applyNumberFormat="1" applyFont="1" applyFill="1" applyBorder="1" applyAlignment="1">
      <alignment vertical="center" wrapText="1"/>
    </xf>
    <xf numFmtId="0" fontId="0" fillId="0" borderId="11" xfId="0" applyFill="1" applyBorder="1"/>
    <xf numFmtId="3" fontId="17" fillId="0" borderId="3" xfId="4" applyNumberFormat="1" applyFont="1" applyFill="1" applyBorder="1" applyAlignment="1">
      <alignment vertical="center" wrapText="1" readingOrder="2"/>
    </xf>
    <xf numFmtId="169" fontId="17" fillId="0" borderId="3" xfId="4" applyNumberFormat="1" applyFont="1" applyFill="1" applyBorder="1" applyAlignment="1">
      <alignment vertical="center" wrapText="1"/>
    </xf>
    <xf numFmtId="0" fontId="35" fillId="0" borderId="3" xfId="3" applyFont="1" applyFill="1" applyBorder="1" applyAlignment="1">
      <alignment horizontal="right" vertical="center" wrapText="1"/>
    </xf>
    <xf numFmtId="165" fontId="17" fillId="0" borderId="11" xfId="3" applyNumberFormat="1" applyFont="1" applyFill="1" applyBorder="1" applyAlignment="1">
      <alignment horizontal="right" vertical="center"/>
    </xf>
    <xf numFmtId="0" fontId="17" fillId="0" borderId="3" xfId="3" applyFont="1" applyFill="1" applyBorder="1" applyAlignment="1">
      <alignment horizontal="right" vertical="center" wrapText="1"/>
    </xf>
    <xf numFmtId="170" fontId="19" fillId="0" borderId="2" xfId="3" applyNumberFormat="1" applyFill="1" applyBorder="1" applyAlignment="1">
      <alignment horizontal="center"/>
    </xf>
    <xf numFmtId="0" fontId="19" fillId="0" borderId="3" xfId="3" applyFill="1" applyBorder="1"/>
    <xf numFmtId="169" fontId="17" fillId="0" borderId="3" xfId="3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4" fillId="6" borderId="7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vertical="center" wrapText="1"/>
    </xf>
    <xf numFmtId="0" fontId="41" fillId="0" borderId="9" xfId="0" applyFont="1" applyFill="1" applyBorder="1" applyAlignment="1">
      <alignment horizontal="right" readingOrder="2"/>
    </xf>
    <xf numFmtId="0" fontId="41" fillId="0" borderId="0" xfId="0" applyFont="1" applyFill="1" applyBorder="1" applyAlignment="1">
      <alignment horizontal="right" readingOrder="2"/>
    </xf>
    <xf numFmtId="0" fontId="44" fillId="0" borderId="9" xfId="0" applyFont="1" applyFill="1" applyBorder="1" applyAlignment="1">
      <alignment horizontal="right" vertical="center" readingOrder="2"/>
    </xf>
    <xf numFmtId="0" fontId="44" fillId="0" borderId="9" xfId="0" applyFont="1" applyFill="1" applyBorder="1" applyAlignment="1">
      <alignment horizontal="right" readingOrder="2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readingOrder="2"/>
    </xf>
    <xf numFmtId="0" fontId="8" fillId="0" borderId="9" xfId="0" applyFont="1" applyFill="1" applyBorder="1" applyAlignment="1">
      <alignment horizontal="right" vertical="center" readingOrder="2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right" vertical="center" wrapText="1"/>
    </xf>
    <xf numFmtId="0" fontId="15" fillId="0" borderId="2" xfId="3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vertical="center" wrapText="1"/>
    </xf>
    <xf numFmtId="43" fontId="7" fillId="0" borderId="3" xfId="1" applyNumberFormat="1" applyFont="1" applyBorder="1" applyAlignment="1">
      <alignment vertical="center" wrapText="1"/>
    </xf>
    <xf numFmtId="43" fontId="7" fillId="0" borderId="12" xfId="1" applyNumberFormat="1" applyFont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43" fontId="7" fillId="0" borderId="5" xfId="1" applyNumberFormat="1" applyFont="1" applyBorder="1" applyAlignment="1">
      <alignment horizontal="center" vertical="center" wrapText="1"/>
    </xf>
    <xf numFmtId="43" fontId="7" fillId="0" borderId="10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3" fontId="7" fillId="0" borderId="3" xfId="0" applyNumberFormat="1" applyFont="1" applyBorder="1" applyAlignment="1">
      <alignment vertical="center" wrapText="1"/>
    </xf>
    <xf numFmtId="3" fontId="7" fillId="7" borderId="6" xfId="0" applyNumberFormat="1" applyFont="1" applyFill="1" applyBorder="1" applyAlignment="1">
      <alignment vertical="center" wrapText="1"/>
    </xf>
    <xf numFmtId="43" fontId="7" fillId="7" borderId="6" xfId="1" applyNumberFormat="1" applyFont="1" applyFill="1" applyBorder="1" applyAlignment="1">
      <alignment vertical="center" wrapText="1"/>
    </xf>
    <xf numFmtId="43" fontId="7" fillId="7" borderId="6" xfId="0" applyNumberFormat="1" applyFont="1" applyFill="1" applyBorder="1" applyAlignment="1">
      <alignment vertical="center" wrapText="1"/>
    </xf>
    <xf numFmtId="0" fontId="46" fillId="0" borderId="0" xfId="0" applyFont="1"/>
    <xf numFmtId="0" fontId="46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67" fontId="11" fillId="0" borderId="2" xfId="1" applyNumberFormat="1" applyFont="1" applyBorder="1" applyAlignment="1">
      <alignment horizontal="right" vertical="center"/>
    </xf>
    <xf numFmtId="167" fontId="11" fillId="0" borderId="3" xfId="1" applyNumberFormat="1" applyFont="1" applyBorder="1" applyAlignment="1">
      <alignment horizontal="right" vertical="center"/>
    </xf>
    <xf numFmtId="167" fontId="11" fillId="7" borderId="6" xfId="1" applyNumberFormat="1" applyFont="1" applyFill="1" applyBorder="1" applyAlignment="1">
      <alignment horizontal="right" vertical="center"/>
    </xf>
    <xf numFmtId="0" fontId="18" fillId="0" borderId="0" xfId="3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7" fillId="3" borderId="6" xfId="0" applyNumberFormat="1" applyFont="1" applyFill="1" applyBorder="1" applyAlignment="1">
      <alignment horizontal="right" vertical="center"/>
    </xf>
    <xf numFmtId="165" fontId="17" fillId="0" borderId="10" xfId="3" applyNumberFormat="1" applyFont="1" applyFill="1" applyBorder="1" applyAlignment="1">
      <alignment horizontal="right" vertical="center"/>
    </xf>
    <xf numFmtId="3" fontId="17" fillId="0" borderId="10" xfId="4" applyNumberFormat="1" applyFont="1" applyFill="1" applyBorder="1" applyAlignment="1">
      <alignment vertical="center" wrapText="1"/>
    </xf>
    <xf numFmtId="0" fontId="0" fillId="0" borderId="10" xfId="0" applyFill="1" applyBorder="1"/>
    <xf numFmtId="0" fontId="8" fillId="0" borderId="0" xfId="0" applyFont="1" applyFill="1" applyBorder="1" applyAlignment="1">
      <alignment horizontal="right" vertical="center" wrapText="1" readingOrder="2"/>
    </xf>
    <xf numFmtId="3" fontId="19" fillId="0" borderId="0" xfId="4" applyNumberFormat="1" applyFill="1" applyBorder="1"/>
    <xf numFmtId="0" fontId="19" fillId="0" borderId="0" xfId="4" applyFill="1"/>
    <xf numFmtId="3" fontId="19" fillId="0" borderId="0" xfId="4" applyNumberFormat="1" applyFill="1"/>
    <xf numFmtId="0" fontId="19" fillId="0" borderId="0" xfId="4" applyFill="1" applyAlignment="1">
      <alignment horizontal="center"/>
    </xf>
    <xf numFmtId="0" fontId="12" fillId="0" borderId="0" xfId="0" applyFont="1" applyFill="1" applyAlignment="1">
      <alignment horizontal="right" vertical="center" wrapText="1"/>
    </xf>
    <xf numFmtId="167" fontId="7" fillId="7" borderId="6" xfId="1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 readingOrder="2"/>
    </xf>
    <xf numFmtId="168" fontId="17" fillId="3" borderId="12" xfId="1" applyNumberFormat="1" applyFont="1" applyFill="1" applyBorder="1" applyAlignment="1">
      <alignment horizontal="right" vertical="center" readingOrder="2"/>
    </xf>
    <xf numFmtId="168" fontId="7" fillId="0" borderId="2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top"/>
    </xf>
    <xf numFmtId="169" fontId="17" fillId="0" borderId="0" xfId="4" applyNumberFormat="1" applyFont="1" applyFill="1" applyBorder="1" applyAlignment="1">
      <alignment vertical="center" wrapText="1"/>
    </xf>
    <xf numFmtId="169" fontId="17" fillId="7" borderId="6" xfId="4" applyNumberFormat="1" applyFont="1" applyFill="1" applyBorder="1" applyAlignment="1">
      <alignment vertical="center" wrapText="1"/>
    </xf>
    <xf numFmtId="1" fontId="7" fillId="0" borderId="2" xfId="0" applyNumberFormat="1" applyFont="1" applyBorder="1" applyAlignment="1">
      <alignment vertical="center" wrapText="1"/>
    </xf>
    <xf numFmtId="1" fontId="7" fillId="0" borderId="10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vertical="center" wrapText="1" readingOrder="2"/>
    </xf>
    <xf numFmtId="168" fontId="7" fillId="0" borderId="10" xfId="1" applyNumberFormat="1" applyFont="1" applyFill="1" applyBorder="1" applyAlignment="1">
      <alignment horizontal="left" vertical="center" wrapText="1"/>
    </xf>
    <xf numFmtId="165" fontId="7" fillId="0" borderId="3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right" vertical="center" wrapText="1"/>
    </xf>
    <xf numFmtId="0" fontId="0" fillId="0" borderId="18" xfId="0" applyBorder="1"/>
    <xf numFmtId="1" fontId="7" fillId="0" borderId="11" xfId="0" applyNumberFormat="1" applyFont="1" applyBorder="1" applyAlignment="1">
      <alignment vertical="center" wrapText="1"/>
    </xf>
    <xf numFmtId="1" fontId="7" fillId="0" borderId="11" xfId="0" applyNumberFormat="1" applyFont="1" applyBorder="1" applyAlignment="1">
      <alignment vertical="center" wrapText="1" readingOrder="2"/>
    </xf>
    <xf numFmtId="1" fontId="7" fillId="0" borderId="1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 readingOrder="2"/>
    </xf>
    <xf numFmtId="0" fontId="10" fillId="0" borderId="0" xfId="0" applyFont="1" applyAlignment="1">
      <alignment horizontal="right" vertical="top"/>
    </xf>
    <xf numFmtId="0" fontId="4" fillId="6" borderId="9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10" fillId="10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readingOrder="2"/>
    </xf>
    <xf numFmtId="0" fontId="8" fillId="6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6" fillId="7" borderId="6" xfId="0" applyFont="1" applyFill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 wrapText="1" readingOrder="2"/>
    </xf>
    <xf numFmtId="0" fontId="10" fillId="0" borderId="0" xfId="0" applyFont="1" applyAlignment="1">
      <alignment horizontal="right" vertical="top"/>
    </xf>
    <xf numFmtId="0" fontId="15" fillId="0" borderId="2" xfId="3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15" fillId="7" borderId="6" xfId="3" applyFont="1" applyFill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5" fillId="0" borderId="13" xfId="3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0" fillId="9" borderId="9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4" fillId="6" borderId="9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right" vertical="center"/>
    </xf>
    <xf numFmtId="0" fontId="12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2" fillId="3" borderId="0" xfId="0" applyFont="1" applyFill="1" applyAlignment="1">
      <alignment horizontal="center" vertical="center" wrapText="1"/>
    </xf>
    <xf numFmtId="0" fontId="15" fillId="0" borderId="17" xfId="0" applyFont="1" applyBorder="1" applyAlignment="1">
      <alignment horizontal="right" vertical="center" wrapText="1"/>
    </xf>
    <xf numFmtId="0" fontId="34" fillId="0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wrapText="1" readingOrder="2"/>
    </xf>
    <xf numFmtId="0" fontId="8" fillId="0" borderId="18" xfId="0" applyFont="1" applyFill="1" applyBorder="1" applyAlignment="1">
      <alignment horizontal="right" vertical="center" wrapText="1" readingOrder="2"/>
    </xf>
    <xf numFmtId="0" fontId="8" fillId="0" borderId="9" xfId="0" applyFont="1" applyFill="1" applyBorder="1" applyAlignment="1">
      <alignment horizontal="right" vertical="center" wrapText="1"/>
    </xf>
    <xf numFmtId="0" fontId="34" fillId="0" borderId="0" xfId="0" applyFont="1" applyFill="1" applyAlignment="1">
      <alignment horizont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0" fontId="4" fillId="6" borderId="9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 wrapText="1"/>
    </xf>
    <xf numFmtId="0" fontId="33" fillId="0" borderId="0" xfId="0" applyFont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15" fillId="0" borderId="17" xfId="0" applyFont="1" applyBorder="1" applyAlignment="1">
      <alignment vertical="center" wrapText="1" readingOrder="2"/>
    </xf>
    <xf numFmtId="0" fontId="4" fillId="6" borderId="9" xfId="3" applyFont="1" applyFill="1" applyBorder="1" applyAlignment="1">
      <alignment vertical="center" wrapText="1" readingOrder="2"/>
    </xf>
    <xf numFmtId="0" fontId="4" fillId="6" borderId="7" xfId="3" applyFont="1" applyFill="1" applyBorder="1" applyAlignment="1">
      <alignment vertical="center" wrapText="1" readingOrder="2"/>
    </xf>
    <xf numFmtId="0" fontId="4" fillId="6" borderId="14" xfId="3" applyFont="1" applyFill="1" applyBorder="1" applyAlignment="1">
      <alignment horizontal="center" vertical="center" wrapText="1" readingOrder="2"/>
    </xf>
    <xf numFmtId="0" fontId="33" fillId="0" borderId="0" xfId="3" applyFont="1" applyBorder="1" applyAlignment="1">
      <alignment horizontal="center" vertical="center" wrapText="1" readingOrder="2"/>
    </xf>
    <xf numFmtId="0" fontId="4" fillId="6" borderId="9" xfId="3" applyFont="1" applyFill="1" applyBorder="1" applyAlignment="1">
      <alignment horizontal="center" vertical="center" wrapText="1" readingOrder="2"/>
    </xf>
    <xf numFmtId="0" fontId="15" fillId="0" borderId="9" xfId="3" applyFont="1" applyFill="1" applyBorder="1" applyAlignment="1">
      <alignment horizontal="right" vertical="center" wrapText="1" readingOrder="2"/>
    </xf>
    <xf numFmtId="0" fontId="8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 readingOrder="2"/>
    </xf>
    <xf numFmtId="0" fontId="18" fillId="0" borderId="0" xfId="3" applyFont="1" applyFill="1" applyBorder="1" applyAlignment="1">
      <alignment horizontal="center" vertical="center" wrapText="1"/>
    </xf>
    <xf numFmtId="0" fontId="33" fillId="3" borderId="0" xfId="3" applyFont="1" applyFill="1" applyBorder="1" applyAlignment="1">
      <alignment horizontal="center" vertical="center" wrapText="1"/>
    </xf>
    <xf numFmtId="0" fontId="34" fillId="0" borderId="0" xfId="3" applyFont="1" applyBorder="1" applyAlignment="1">
      <alignment horizontal="center" vertical="center"/>
    </xf>
    <xf numFmtId="0" fontId="34" fillId="0" borderId="0" xfId="3" applyFont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right" vertical="center" wrapText="1" readingOrder="2"/>
    </xf>
    <xf numFmtId="0" fontId="39" fillId="0" borderId="0" xfId="3" applyFont="1" applyFill="1" applyBorder="1" applyAlignment="1">
      <alignment horizontal="right" vertical="center" readingOrder="2"/>
    </xf>
    <xf numFmtId="0" fontId="33" fillId="0" borderId="0" xfId="3" applyFont="1" applyBorder="1" applyAlignment="1">
      <alignment horizontal="center" vertical="center" wrapText="1"/>
    </xf>
    <xf numFmtId="0" fontId="33" fillId="0" borderId="0" xfId="3" applyFont="1" applyAlignment="1">
      <alignment horizontal="right" vertical="center"/>
    </xf>
    <xf numFmtId="0" fontId="4" fillId="6" borderId="9" xfId="3" applyFont="1" applyFill="1" applyBorder="1" applyAlignment="1">
      <alignment horizontal="right" vertical="center" wrapText="1"/>
    </xf>
    <xf numFmtId="0" fontId="4" fillId="6" borderId="7" xfId="3" applyFont="1" applyFill="1" applyBorder="1" applyAlignment="1">
      <alignment horizontal="right" vertical="center" wrapText="1"/>
    </xf>
    <xf numFmtId="0" fontId="4" fillId="6" borderId="9" xfId="3" applyFont="1" applyFill="1" applyBorder="1" applyAlignment="1">
      <alignment horizontal="center" vertical="center" wrapText="1"/>
    </xf>
    <xf numFmtId="0" fontId="4" fillId="6" borderId="7" xfId="3" applyFont="1" applyFill="1" applyBorder="1" applyAlignment="1">
      <alignment horizontal="center" vertical="center" wrapText="1"/>
    </xf>
    <xf numFmtId="0" fontId="33" fillId="3" borderId="0" xfId="4" applyFont="1" applyFill="1" applyBorder="1" applyAlignment="1">
      <alignment horizontal="center" vertical="center" wrapText="1"/>
    </xf>
    <xf numFmtId="0" fontId="33" fillId="3" borderId="0" xfId="4" applyFont="1" applyFill="1" applyAlignment="1">
      <alignment vertical="center"/>
    </xf>
    <xf numFmtId="0" fontId="4" fillId="6" borderId="9" xfId="4" applyFont="1" applyFill="1" applyBorder="1" applyAlignment="1">
      <alignment horizontal="right" vertical="center" wrapText="1"/>
    </xf>
    <xf numFmtId="0" fontId="4" fillId="6" borderId="7" xfId="4" applyFont="1" applyFill="1" applyBorder="1" applyAlignment="1">
      <alignment horizontal="right" vertical="center" wrapText="1"/>
    </xf>
    <xf numFmtId="0" fontId="4" fillId="6" borderId="9" xfId="4" applyFont="1" applyFill="1" applyBorder="1" applyAlignment="1">
      <alignment horizontal="center" vertical="center" wrapText="1"/>
    </xf>
    <xf numFmtId="0" fontId="4" fillId="6" borderId="14" xfId="4" applyFont="1" applyFill="1" applyBorder="1" applyAlignment="1">
      <alignment horizontal="center" vertical="center" wrapText="1"/>
    </xf>
    <xf numFmtId="0" fontId="19" fillId="0" borderId="0" xfId="4" applyBorder="1" applyAlignment="1">
      <alignment horizontal="center" vertical="center" wrapText="1"/>
    </xf>
    <xf numFmtId="0" fontId="4" fillId="6" borderId="7" xfId="4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justify" vertical="center" wrapText="1"/>
    </xf>
    <xf numFmtId="167" fontId="7" fillId="7" borderId="3" xfId="1" applyNumberFormat="1" applyFont="1" applyFill="1" applyBorder="1" applyAlignment="1">
      <alignment vertical="center" wrapText="1"/>
    </xf>
    <xf numFmtId="167" fontId="7" fillId="7" borderId="7" xfId="1" applyNumberFormat="1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right" vertical="center" wrapText="1"/>
    </xf>
    <xf numFmtId="0" fontId="31" fillId="6" borderId="0" xfId="0" applyFont="1" applyFill="1" applyBorder="1" applyAlignment="1">
      <alignment horizontal="right" vertical="center" wrapText="1"/>
    </xf>
    <xf numFmtId="0" fontId="31" fillId="6" borderId="7" xfId="0" applyFont="1" applyFill="1" applyBorder="1" applyAlignment="1">
      <alignment horizontal="right" vertical="center" wrapText="1"/>
    </xf>
    <xf numFmtId="0" fontId="8" fillId="7" borderId="2" xfId="0" applyFont="1" applyFill="1" applyBorder="1" applyAlignment="1">
      <alignment horizontal="center" vertical="center" wrapText="1"/>
    </xf>
    <xf numFmtId="167" fontId="7" fillId="7" borderId="2" xfId="1" applyNumberFormat="1" applyFont="1" applyFill="1" applyBorder="1" applyAlignment="1">
      <alignment horizontal="center" vertical="center" wrapText="1"/>
    </xf>
    <xf numFmtId="167" fontId="7" fillId="7" borderId="12" xfId="1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right" vertical="center" wrapText="1" readingOrder="2"/>
    </xf>
    <xf numFmtId="0" fontId="8" fillId="5" borderId="0" xfId="0" applyFont="1" applyFill="1" applyBorder="1" applyAlignment="1">
      <alignment horizontal="right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44" fillId="0" borderId="5" xfId="0" applyFont="1" applyBorder="1"/>
    <xf numFmtId="0" fontId="44" fillId="0" borderId="0" xfId="0" applyFont="1" applyBorder="1"/>
    <xf numFmtId="0" fontId="44" fillId="0" borderId="0" xfId="0" applyFont="1" applyBorder="1" applyAlignment="1">
      <alignment horizontal="right" vertical="center" wrapText="1"/>
    </xf>
    <xf numFmtId="0" fontId="41" fillId="0" borderId="5" xfId="0" applyFont="1" applyBorder="1" applyAlignment="1">
      <alignment horizontal="right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 wrapText="1"/>
    </xf>
    <xf numFmtId="169" fontId="4" fillId="6" borderId="9" xfId="0" applyNumberFormat="1" applyFont="1" applyFill="1" applyBorder="1" applyAlignment="1">
      <alignment horizontal="right" vertical="center" wrapText="1"/>
    </xf>
    <xf numFmtId="169" fontId="4" fillId="6" borderId="7" xfId="0" applyNumberFormat="1" applyFont="1" applyFill="1" applyBorder="1" applyAlignment="1">
      <alignment horizontal="right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" fillId="6" borderId="9" xfId="0" applyFont="1" applyFill="1" applyBorder="1" applyAlignment="1">
      <alignment horizontal="right" vertical="center"/>
    </xf>
    <xf numFmtId="0" fontId="4" fillId="6" borderId="7" xfId="0" applyFont="1" applyFill="1" applyBorder="1" applyAlignment="1">
      <alignment horizontal="right" vertical="center"/>
    </xf>
    <xf numFmtId="0" fontId="4" fillId="6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right" vertical="center" wrapText="1" readingOrder="2"/>
    </xf>
    <xf numFmtId="0" fontId="12" fillId="0" borderId="8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right" vertical="center" wrapText="1"/>
    </xf>
    <xf numFmtId="167" fontId="4" fillId="6" borderId="1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_جداول الإخراج  الماء 23-3-2011" xfId="3"/>
    <cellStyle name="Normal_جداول الإخراج  الماء 24-3-2011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22"/>
  <sheetViews>
    <sheetView rightToLeft="1" view="pageBreakPreview" topLeftCell="A7" zoomScale="90" zoomScaleSheetLayoutView="90" workbookViewId="0">
      <selection activeCell="I5" sqref="I5"/>
    </sheetView>
  </sheetViews>
  <sheetFormatPr defaultRowHeight="15" x14ac:dyDescent="0.25"/>
  <cols>
    <col min="1" max="1" width="4.140625" customWidth="1"/>
    <col min="2" max="2" width="10.42578125" customWidth="1"/>
    <col min="3" max="3" width="8" customWidth="1"/>
    <col min="4" max="4" width="7" customWidth="1"/>
    <col min="5" max="5" width="6.140625" customWidth="1"/>
    <col min="6" max="12" width="7" customWidth="1"/>
    <col min="13" max="14" width="8.7109375" customWidth="1"/>
    <col min="15" max="15" width="11.85546875" customWidth="1"/>
    <col min="16" max="16" width="10" customWidth="1"/>
    <col min="18" max="18" width="11.5703125" style="28" bestFit="1" customWidth="1"/>
    <col min="19" max="19" width="9.42578125" style="28" bestFit="1" customWidth="1"/>
    <col min="20" max="20" width="10.42578125" style="28" bestFit="1" customWidth="1"/>
    <col min="21" max="30" width="9.42578125" style="28" bestFit="1" customWidth="1"/>
    <col min="31" max="31" width="16.28515625" style="28" bestFit="1" customWidth="1"/>
    <col min="32" max="32" width="12.42578125" style="562" bestFit="1" customWidth="1"/>
    <col min="33" max="33" width="9.85546875" style="562" bestFit="1" customWidth="1"/>
  </cols>
  <sheetData>
    <row r="1" spans="1:33" ht="19.5" customHeight="1" x14ac:dyDescent="0.25">
      <c r="A1" s="753" t="s">
        <v>509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</row>
    <row r="2" spans="1:33" ht="22.5" customHeight="1" thickBot="1" x14ac:dyDescent="0.3">
      <c r="A2" s="754" t="s">
        <v>400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</row>
    <row r="3" spans="1:33" ht="27" customHeight="1" thickTop="1" x14ac:dyDescent="0.25">
      <c r="A3" s="749" t="s">
        <v>337</v>
      </c>
      <c r="B3" s="749"/>
      <c r="C3" s="755" t="s">
        <v>235</v>
      </c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589" t="s">
        <v>338</v>
      </c>
      <c r="P3" s="589" t="s">
        <v>340</v>
      </c>
      <c r="AE3" s="561" t="s">
        <v>392</v>
      </c>
    </row>
    <row r="4" spans="1:33" ht="27" customHeight="1" x14ac:dyDescent="0.25">
      <c r="A4" s="750"/>
      <c r="B4" s="750"/>
      <c r="C4" s="197" t="s">
        <v>8</v>
      </c>
      <c r="D4" s="180" t="s">
        <v>9</v>
      </c>
      <c r="E4" s="180" t="s">
        <v>10</v>
      </c>
      <c r="F4" s="180" t="s">
        <v>11</v>
      </c>
      <c r="G4" s="180" t="s">
        <v>12</v>
      </c>
      <c r="H4" s="180" t="s">
        <v>13</v>
      </c>
      <c r="I4" s="180" t="s">
        <v>14</v>
      </c>
      <c r="J4" s="180" t="s">
        <v>15</v>
      </c>
      <c r="K4" s="180" t="s">
        <v>16</v>
      </c>
      <c r="L4" s="180" t="s">
        <v>17</v>
      </c>
      <c r="M4" s="180" t="s">
        <v>18</v>
      </c>
      <c r="N4" s="180" t="s">
        <v>19</v>
      </c>
      <c r="O4" s="185" t="s">
        <v>339</v>
      </c>
      <c r="P4" s="185" t="s">
        <v>341</v>
      </c>
      <c r="R4" s="685" t="s">
        <v>8</v>
      </c>
      <c r="S4" s="685" t="s">
        <v>9</v>
      </c>
      <c r="T4" s="685" t="s">
        <v>10</v>
      </c>
      <c r="U4" s="685" t="s">
        <v>11</v>
      </c>
      <c r="V4" s="685" t="s">
        <v>12</v>
      </c>
      <c r="W4" s="685" t="s">
        <v>13</v>
      </c>
      <c r="X4" s="685" t="s">
        <v>14</v>
      </c>
      <c r="Y4" s="685" t="s">
        <v>15</v>
      </c>
      <c r="Z4" s="685" t="s">
        <v>16</v>
      </c>
      <c r="AA4" s="685" t="s">
        <v>17</v>
      </c>
      <c r="AB4" s="685" t="s">
        <v>18</v>
      </c>
      <c r="AC4" s="685" t="s">
        <v>19</v>
      </c>
      <c r="AD4" s="28" t="s">
        <v>217</v>
      </c>
      <c r="AE4" s="24" t="s">
        <v>218</v>
      </c>
    </row>
    <row r="5" spans="1:33" ht="39" customHeight="1" x14ac:dyDescent="0.25">
      <c r="A5" s="757" t="s">
        <v>199</v>
      </c>
      <c r="B5" s="757"/>
      <c r="C5" s="590">
        <v>125</v>
      </c>
      <c r="D5" s="590">
        <v>323</v>
      </c>
      <c r="E5" s="590">
        <v>1274</v>
      </c>
      <c r="F5" s="590">
        <v>1119</v>
      </c>
      <c r="G5" s="590">
        <v>918</v>
      </c>
      <c r="H5" s="590">
        <v>1563</v>
      </c>
      <c r="I5" s="590">
        <v>2837</v>
      </c>
      <c r="J5" s="590">
        <v>2197</v>
      </c>
      <c r="K5" s="590">
        <v>862</v>
      </c>
      <c r="L5" s="590">
        <v>321</v>
      </c>
      <c r="M5" s="590">
        <v>261</v>
      </c>
      <c r="N5" s="590">
        <v>103</v>
      </c>
      <c r="O5" s="310">
        <f t="shared" ref="O5:O13" si="0">AE5</f>
        <v>991.91666666666663</v>
      </c>
      <c r="P5" s="404">
        <f t="shared" ref="P5:P13" si="1">AG5</f>
        <v>31.281084</v>
      </c>
      <c r="R5" s="686">
        <v>125</v>
      </c>
      <c r="S5" s="686">
        <v>323</v>
      </c>
      <c r="T5" s="686">
        <v>1274</v>
      </c>
      <c r="U5" s="686">
        <v>1119</v>
      </c>
      <c r="V5" s="686">
        <v>918</v>
      </c>
      <c r="W5" s="686">
        <v>1563</v>
      </c>
      <c r="X5" s="686">
        <v>2837</v>
      </c>
      <c r="Y5" s="686">
        <v>2197</v>
      </c>
      <c r="Z5" s="686">
        <v>862</v>
      </c>
      <c r="AA5" s="686">
        <v>321</v>
      </c>
      <c r="AB5" s="686">
        <v>261</v>
      </c>
      <c r="AC5" s="686">
        <v>103</v>
      </c>
      <c r="AD5" s="687">
        <f>SUM(R5:AC5)</f>
        <v>11903</v>
      </c>
      <c r="AE5" s="688">
        <f>AD5/12</f>
        <v>991.91666666666663</v>
      </c>
      <c r="AF5" s="562">
        <f>AE5*60*60*24*365</f>
        <v>31281084000</v>
      </c>
      <c r="AG5" s="563">
        <f t="shared" ref="AG5:AG13" si="2">AF5/1000000000</f>
        <v>31.281084</v>
      </c>
    </row>
    <row r="6" spans="1:33" ht="39" customHeight="1" x14ac:dyDescent="0.25">
      <c r="A6" s="758" t="s">
        <v>459</v>
      </c>
      <c r="B6" s="758"/>
      <c r="C6" s="90">
        <v>110</v>
      </c>
      <c r="D6" s="90">
        <v>244</v>
      </c>
      <c r="E6" s="90">
        <v>775</v>
      </c>
      <c r="F6" s="90">
        <v>550</v>
      </c>
      <c r="G6" s="90">
        <v>394</v>
      </c>
      <c r="H6" s="90">
        <v>853</v>
      </c>
      <c r="I6" s="90">
        <v>1650</v>
      </c>
      <c r="J6" s="90">
        <v>1488</v>
      </c>
      <c r="K6" s="90">
        <v>839</v>
      </c>
      <c r="L6" s="90">
        <v>457</v>
      </c>
      <c r="M6" s="90">
        <v>289</v>
      </c>
      <c r="N6" s="90">
        <v>200</v>
      </c>
      <c r="O6" s="405">
        <f t="shared" si="0"/>
        <v>654.08333333333337</v>
      </c>
      <c r="P6" s="406">
        <f t="shared" si="1"/>
        <v>20.627172000000002</v>
      </c>
      <c r="R6" s="686">
        <v>110</v>
      </c>
      <c r="S6" s="686">
        <v>244</v>
      </c>
      <c r="T6" s="686">
        <v>775</v>
      </c>
      <c r="U6" s="686">
        <v>550</v>
      </c>
      <c r="V6" s="686">
        <v>394</v>
      </c>
      <c r="W6" s="686">
        <v>853</v>
      </c>
      <c r="X6" s="686">
        <v>1650</v>
      </c>
      <c r="Y6" s="686">
        <v>1488</v>
      </c>
      <c r="Z6" s="686">
        <v>839</v>
      </c>
      <c r="AA6" s="686">
        <v>457</v>
      </c>
      <c r="AB6" s="686">
        <v>289</v>
      </c>
      <c r="AC6" s="686">
        <v>200</v>
      </c>
      <c r="AD6" s="697">
        <f t="shared" ref="AD6:AD8" si="3">SUM(R6:AC6)</f>
        <v>7849</v>
      </c>
      <c r="AE6" s="526">
        <f t="shared" ref="AE6:AE8" si="4">AD6/12</f>
        <v>654.08333333333337</v>
      </c>
      <c r="AF6" s="562">
        <f t="shared" ref="AF6:AF8" si="5">AE6*60*60*24*365</f>
        <v>20627172000</v>
      </c>
      <c r="AG6" s="563">
        <f t="shared" si="2"/>
        <v>20.627172000000002</v>
      </c>
    </row>
    <row r="7" spans="1:33" ht="39" customHeight="1" x14ac:dyDescent="0.25">
      <c r="A7" s="759" t="s">
        <v>219</v>
      </c>
      <c r="B7" s="759"/>
      <c r="C7" s="682">
        <v>23</v>
      </c>
      <c r="D7" s="682">
        <v>101</v>
      </c>
      <c r="E7" s="682">
        <v>572</v>
      </c>
      <c r="F7" s="682">
        <v>640</v>
      </c>
      <c r="G7" s="682">
        <v>545</v>
      </c>
      <c r="H7" s="682">
        <v>722</v>
      </c>
      <c r="I7" s="682">
        <v>1069</v>
      </c>
      <c r="J7" s="682">
        <v>458</v>
      </c>
      <c r="K7" s="682">
        <v>183</v>
      </c>
      <c r="L7" s="682">
        <v>68</v>
      </c>
      <c r="M7" s="682">
        <v>14</v>
      </c>
      <c r="N7" s="682">
        <v>18</v>
      </c>
      <c r="O7" s="405">
        <f t="shared" si="0"/>
        <v>367.75</v>
      </c>
      <c r="P7" s="406">
        <f t="shared" si="1"/>
        <v>11.597364000000001</v>
      </c>
      <c r="R7" s="686">
        <v>23</v>
      </c>
      <c r="S7" s="686">
        <v>101</v>
      </c>
      <c r="T7" s="686">
        <v>572</v>
      </c>
      <c r="U7" s="686">
        <v>640</v>
      </c>
      <c r="V7" s="686">
        <v>545</v>
      </c>
      <c r="W7" s="686">
        <v>722</v>
      </c>
      <c r="X7" s="686">
        <v>1069</v>
      </c>
      <c r="Y7" s="686">
        <v>458</v>
      </c>
      <c r="Z7" s="686">
        <v>183</v>
      </c>
      <c r="AA7" s="686">
        <v>68</v>
      </c>
      <c r="AB7" s="686">
        <v>14</v>
      </c>
      <c r="AC7" s="686">
        <v>18</v>
      </c>
      <c r="AD7" s="689">
        <f t="shared" si="3"/>
        <v>4413</v>
      </c>
      <c r="AE7" s="526">
        <f t="shared" si="4"/>
        <v>367.75</v>
      </c>
      <c r="AF7" s="562">
        <f t="shared" si="5"/>
        <v>11597364000</v>
      </c>
      <c r="AG7" s="563">
        <f t="shared" si="2"/>
        <v>11.597364000000001</v>
      </c>
    </row>
    <row r="8" spans="1:33" ht="39" customHeight="1" x14ac:dyDescent="0.25">
      <c r="A8" s="759" t="s">
        <v>460</v>
      </c>
      <c r="B8" s="759"/>
      <c r="C8" s="682">
        <v>19</v>
      </c>
      <c r="D8" s="682">
        <v>48</v>
      </c>
      <c r="E8" s="682">
        <v>129</v>
      </c>
      <c r="F8" s="682">
        <v>104</v>
      </c>
      <c r="G8" s="682">
        <v>88</v>
      </c>
      <c r="H8" s="682">
        <v>129</v>
      </c>
      <c r="I8" s="682">
        <v>188</v>
      </c>
      <c r="J8" s="682">
        <v>39</v>
      </c>
      <c r="K8" s="682">
        <v>21</v>
      </c>
      <c r="L8" s="682">
        <v>12</v>
      </c>
      <c r="M8" s="682">
        <v>11</v>
      </c>
      <c r="N8" s="682">
        <v>16</v>
      </c>
      <c r="O8" s="683">
        <f t="shared" si="0"/>
        <v>67</v>
      </c>
      <c r="P8" s="406">
        <f t="shared" si="1"/>
        <v>2.1129120000000001</v>
      </c>
      <c r="R8" s="690">
        <v>19</v>
      </c>
      <c r="S8" s="690">
        <v>48</v>
      </c>
      <c r="T8" s="690">
        <v>129</v>
      </c>
      <c r="U8" s="690">
        <v>104</v>
      </c>
      <c r="V8" s="690">
        <v>88</v>
      </c>
      <c r="W8" s="690">
        <v>129</v>
      </c>
      <c r="X8" s="690">
        <v>188</v>
      </c>
      <c r="Y8" s="690">
        <v>39</v>
      </c>
      <c r="Z8" s="690">
        <v>21</v>
      </c>
      <c r="AA8" s="690">
        <v>12</v>
      </c>
      <c r="AB8" s="690">
        <v>11</v>
      </c>
      <c r="AC8" s="690">
        <v>16</v>
      </c>
      <c r="AD8" s="691">
        <f t="shared" si="3"/>
        <v>804</v>
      </c>
      <c r="AE8" s="526">
        <f t="shared" si="4"/>
        <v>67</v>
      </c>
      <c r="AF8" s="562">
        <f t="shared" si="5"/>
        <v>2112912000</v>
      </c>
      <c r="AG8" s="563">
        <f t="shared" si="2"/>
        <v>2.1129120000000001</v>
      </c>
    </row>
    <row r="9" spans="1:33" ht="39" customHeight="1" x14ac:dyDescent="0.25">
      <c r="A9" s="759" t="s">
        <v>220</v>
      </c>
      <c r="B9" s="759"/>
      <c r="C9" s="55">
        <v>75</v>
      </c>
      <c r="D9" s="55">
        <v>97</v>
      </c>
      <c r="E9" s="55">
        <v>386</v>
      </c>
      <c r="F9" s="55">
        <v>432</v>
      </c>
      <c r="G9" s="55">
        <v>574</v>
      </c>
      <c r="H9" s="55">
        <v>729</v>
      </c>
      <c r="I9" s="55">
        <v>1019</v>
      </c>
      <c r="J9" s="55">
        <v>419</v>
      </c>
      <c r="K9" s="55">
        <v>148</v>
      </c>
      <c r="L9" s="55">
        <v>126</v>
      </c>
      <c r="M9" s="55">
        <v>94</v>
      </c>
      <c r="N9" s="55">
        <v>64</v>
      </c>
      <c r="O9" s="405">
        <f t="shared" si="0"/>
        <v>346.91666666666669</v>
      </c>
      <c r="P9" s="406">
        <f t="shared" si="1"/>
        <v>10.940364000000001</v>
      </c>
      <c r="R9" s="567">
        <v>75</v>
      </c>
      <c r="S9" s="567">
        <v>97</v>
      </c>
      <c r="T9" s="567">
        <v>386</v>
      </c>
      <c r="U9" s="567">
        <v>432</v>
      </c>
      <c r="V9" s="567">
        <v>574</v>
      </c>
      <c r="W9" s="567">
        <v>729</v>
      </c>
      <c r="X9" s="567">
        <v>1019</v>
      </c>
      <c r="Y9" s="567">
        <v>419</v>
      </c>
      <c r="Z9" s="567">
        <v>148</v>
      </c>
      <c r="AA9" s="567">
        <v>126</v>
      </c>
      <c r="AB9" s="567">
        <v>94</v>
      </c>
      <c r="AC9" s="692">
        <v>64</v>
      </c>
      <c r="AD9" s="24">
        <f>SUM(R9:AC9)</f>
        <v>4163</v>
      </c>
      <c r="AE9" s="526">
        <f>AD9/12</f>
        <v>346.91666666666669</v>
      </c>
      <c r="AF9" s="562">
        <f>AE9*60*60*24*365</f>
        <v>10940364000</v>
      </c>
      <c r="AG9" s="563">
        <f t="shared" si="2"/>
        <v>10.940364000000001</v>
      </c>
    </row>
    <row r="10" spans="1:33" ht="39" customHeight="1" x14ac:dyDescent="0.25">
      <c r="A10" s="759" t="s">
        <v>20</v>
      </c>
      <c r="B10" s="759"/>
      <c r="C10" s="465">
        <f>C5+C6+C7</f>
        <v>258</v>
      </c>
      <c r="D10" s="465">
        <f t="shared" ref="D10:N10" si="6">D5+D6+D7</f>
        <v>668</v>
      </c>
      <c r="E10" s="465">
        <f t="shared" si="6"/>
        <v>2621</v>
      </c>
      <c r="F10" s="465">
        <f t="shared" si="6"/>
        <v>2309</v>
      </c>
      <c r="G10" s="465">
        <f t="shared" si="6"/>
        <v>1857</v>
      </c>
      <c r="H10" s="465">
        <f t="shared" si="6"/>
        <v>3138</v>
      </c>
      <c r="I10" s="465">
        <f t="shared" si="6"/>
        <v>5556</v>
      </c>
      <c r="J10" s="465">
        <f t="shared" si="6"/>
        <v>4143</v>
      </c>
      <c r="K10" s="465">
        <f t="shared" si="6"/>
        <v>1884</v>
      </c>
      <c r="L10" s="465">
        <f t="shared" si="6"/>
        <v>846</v>
      </c>
      <c r="M10" s="465">
        <f t="shared" si="6"/>
        <v>564</v>
      </c>
      <c r="N10" s="465">
        <f t="shared" si="6"/>
        <v>321</v>
      </c>
      <c r="O10" s="684">
        <f t="shared" si="0"/>
        <v>2013.75</v>
      </c>
      <c r="P10" s="406">
        <f t="shared" si="1"/>
        <v>63.50562</v>
      </c>
      <c r="R10" s="693">
        <v>258</v>
      </c>
      <c r="S10" s="693">
        <v>668</v>
      </c>
      <c r="T10" s="693">
        <v>2621</v>
      </c>
      <c r="U10" s="693">
        <v>2309</v>
      </c>
      <c r="V10" s="693">
        <v>1857</v>
      </c>
      <c r="W10" s="693">
        <v>3138</v>
      </c>
      <c r="X10" s="693">
        <v>5556</v>
      </c>
      <c r="Y10" s="693">
        <v>4143</v>
      </c>
      <c r="Z10" s="693">
        <v>1884</v>
      </c>
      <c r="AA10" s="693">
        <v>846</v>
      </c>
      <c r="AB10" s="693">
        <v>564</v>
      </c>
      <c r="AC10" s="693">
        <v>321</v>
      </c>
      <c r="AD10" s="573">
        <f>SUM(R10:AC10)</f>
        <v>24165</v>
      </c>
      <c r="AE10" s="573">
        <f>AD10/12</f>
        <v>2013.75</v>
      </c>
      <c r="AF10" s="562">
        <f t="shared" ref="AF10:AF15" si="7">AE10*60*60*24*365</f>
        <v>63505620000</v>
      </c>
      <c r="AG10" s="563">
        <f t="shared" si="2"/>
        <v>63.50562</v>
      </c>
    </row>
    <row r="11" spans="1:33" ht="39" customHeight="1" x14ac:dyDescent="0.25">
      <c r="A11" s="759" t="s">
        <v>461</v>
      </c>
      <c r="B11" s="759"/>
      <c r="C11" s="90">
        <f>C10+C9</f>
        <v>333</v>
      </c>
      <c r="D11" s="90">
        <f t="shared" ref="D11:N11" si="8">D10+D9</f>
        <v>765</v>
      </c>
      <c r="E11" s="90">
        <f t="shared" si="8"/>
        <v>3007</v>
      </c>
      <c r="F11" s="90">
        <f t="shared" si="8"/>
        <v>2741</v>
      </c>
      <c r="G11" s="90">
        <f t="shared" si="8"/>
        <v>2431</v>
      </c>
      <c r="H11" s="90">
        <f t="shared" si="8"/>
        <v>3867</v>
      </c>
      <c r="I11" s="90">
        <f t="shared" si="8"/>
        <v>6575</v>
      </c>
      <c r="J11" s="90">
        <f t="shared" si="8"/>
        <v>4562</v>
      </c>
      <c r="K11" s="90">
        <f t="shared" si="8"/>
        <v>2032</v>
      </c>
      <c r="L11" s="90">
        <f t="shared" si="8"/>
        <v>972</v>
      </c>
      <c r="M11" s="90">
        <f t="shared" si="8"/>
        <v>658</v>
      </c>
      <c r="N11" s="90">
        <f t="shared" si="8"/>
        <v>385</v>
      </c>
      <c r="O11" s="405">
        <f t="shared" si="0"/>
        <v>2360.6666666666665</v>
      </c>
      <c r="P11" s="406">
        <f t="shared" si="1"/>
        <v>74.445983999999996</v>
      </c>
      <c r="R11" s="694">
        <v>333</v>
      </c>
      <c r="S11" s="694">
        <v>765</v>
      </c>
      <c r="T11" s="694">
        <v>3007</v>
      </c>
      <c r="U11" s="694">
        <v>2741</v>
      </c>
      <c r="V11" s="694">
        <v>2431</v>
      </c>
      <c r="W11" s="694">
        <v>3867</v>
      </c>
      <c r="X11" s="694">
        <v>6575</v>
      </c>
      <c r="Y11" s="694">
        <v>4562</v>
      </c>
      <c r="Z11" s="694">
        <v>2032</v>
      </c>
      <c r="AA11" s="694">
        <v>972</v>
      </c>
      <c r="AB11" s="694">
        <v>658</v>
      </c>
      <c r="AC11" s="694">
        <v>385</v>
      </c>
      <c r="AD11" s="697">
        <f>SUM(R11:AC11)</f>
        <v>28328</v>
      </c>
      <c r="AE11" s="695">
        <f>AD11/12</f>
        <v>2360.6666666666665</v>
      </c>
      <c r="AF11" s="562">
        <f t="shared" si="7"/>
        <v>74445984000</v>
      </c>
      <c r="AG11" s="563">
        <f t="shared" si="2"/>
        <v>74.445983999999996</v>
      </c>
    </row>
    <row r="12" spans="1:33" ht="39" customHeight="1" x14ac:dyDescent="0.25">
      <c r="A12" s="760" t="s">
        <v>462</v>
      </c>
      <c r="B12" s="760"/>
      <c r="C12" s="402">
        <v>295</v>
      </c>
      <c r="D12" s="402">
        <v>260</v>
      </c>
      <c r="E12" s="402">
        <v>250</v>
      </c>
      <c r="F12" s="402">
        <v>286</v>
      </c>
      <c r="G12" s="402">
        <v>359</v>
      </c>
      <c r="H12" s="402">
        <v>460</v>
      </c>
      <c r="I12" s="402">
        <v>750</v>
      </c>
      <c r="J12" s="402">
        <v>524</v>
      </c>
      <c r="K12" s="402">
        <v>827</v>
      </c>
      <c r="L12" s="402">
        <v>746</v>
      </c>
      <c r="M12" s="402">
        <v>802</v>
      </c>
      <c r="N12" s="402">
        <v>891</v>
      </c>
      <c r="O12" s="683">
        <f t="shared" si="0"/>
        <v>537.5</v>
      </c>
      <c r="P12" s="699">
        <f t="shared" si="1"/>
        <v>16.950600000000001</v>
      </c>
      <c r="R12" s="686">
        <v>295</v>
      </c>
      <c r="S12" s="686">
        <v>260</v>
      </c>
      <c r="T12" s="686">
        <v>250</v>
      </c>
      <c r="U12" s="686">
        <v>286</v>
      </c>
      <c r="V12" s="686">
        <v>359</v>
      </c>
      <c r="W12" s="686">
        <v>460</v>
      </c>
      <c r="X12" s="686">
        <v>750</v>
      </c>
      <c r="Y12" s="686">
        <v>524</v>
      </c>
      <c r="Z12" s="686">
        <v>827</v>
      </c>
      <c r="AA12" s="686">
        <v>746</v>
      </c>
      <c r="AB12" s="686">
        <v>802</v>
      </c>
      <c r="AC12" s="696">
        <v>891</v>
      </c>
      <c r="AD12" s="24">
        <f>SUM(R12:AC12)</f>
        <v>6450</v>
      </c>
      <c r="AE12" s="526">
        <f>AD12/12</f>
        <v>537.5</v>
      </c>
      <c r="AF12" s="562">
        <f t="shared" si="7"/>
        <v>16950600000</v>
      </c>
      <c r="AG12" s="563">
        <f t="shared" si="2"/>
        <v>16.950600000000001</v>
      </c>
    </row>
    <row r="13" spans="1:33" ht="39" customHeight="1" thickBot="1" x14ac:dyDescent="0.3">
      <c r="A13" s="752" t="s">
        <v>26</v>
      </c>
      <c r="B13" s="752"/>
      <c r="C13" s="700">
        <f>C11+C8+C12</f>
        <v>647</v>
      </c>
      <c r="D13" s="700">
        <f t="shared" ref="D13:N13" si="9">D11+D8+D12</f>
        <v>1073</v>
      </c>
      <c r="E13" s="700">
        <f t="shared" si="9"/>
        <v>3386</v>
      </c>
      <c r="F13" s="700">
        <f t="shared" si="9"/>
        <v>3131</v>
      </c>
      <c r="G13" s="700">
        <f t="shared" si="9"/>
        <v>2878</v>
      </c>
      <c r="H13" s="700">
        <f t="shared" si="9"/>
        <v>4456</v>
      </c>
      <c r="I13" s="700">
        <f t="shared" si="9"/>
        <v>7513</v>
      </c>
      <c r="J13" s="700">
        <f t="shared" si="9"/>
        <v>5125</v>
      </c>
      <c r="K13" s="700">
        <f t="shared" si="9"/>
        <v>2880</v>
      </c>
      <c r="L13" s="700">
        <f t="shared" si="9"/>
        <v>1730</v>
      </c>
      <c r="M13" s="700">
        <f t="shared" si="9"/>
        <v>1471</v>
      </c>
      <c r="N13" s="700">
        <f t="shared" si="9"/>
        <v>1292</v>
      </c>
      <c r="O13" s="701">
        <f t="shared" si="0"/>
        <v>2965.1666666666665</v>
      </c>
      <c r="P13" s="702">
        <f t="shared" si="1"/>
        <v>93.509495999999999</v>
      </c>
      <c r="R13" s="690">
        <v>647</v>
      </c>
      <c r="S13" s="690">
        <v>1073</v>
      </c>
      <c r="T13" s="690">
        <v>3386</v>
      </c>
      <c r="U13" s="690">
        <v>3131</v>
      </c>
      <c r="V13" s="690">
        <v>2878</v>
      </c>
      <c r="W13" s="690">
        <v>4456</v>
      </c>
      <c r="X13" s="690">
        <v>7513</v>
      </c>
      <c r="Y13" s="690">
        <v>5125</v>
      </c>
      <c r="Z13" s="690">
        <v>2880</v>
      </c>
      <c r="AA13" s="690">
        <v>1730</v>
      </c>
      <c r="AB13" s="690">
        <v>1471</v>
      </c>
      <c r="AC13" s="690">
        <v>1292</v>
      </c>
      <c r="AD13" s="698">
        <f>SUM(R13:AC13)</f>
        <v>35582</v>
      </c>
      <c r="AE13" s="526">
        <f>AD13/12</f>
        <v>2965.1666666666665</v>
      </c>
      <c r="AF13" s="562">
        <f t="shared" si="7"/>
        <v>93509496000</v>
      </c>
      <c r="AG13" s="563">
        <f t="shared" si="2"/>
        <v>93.509495999999999</v>
      </c>
    </row>
    <row r="14" spans="1:33" ht="7.5" customHeight="1" thickTop="1" x14ac:dyDescent="0.25">
      <c r="A14" s="2"/>
      <c r="B14" s="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33" ht="25.5" customHeight="1" x14ac:dyDescent="0.25">
      <c r="A15" s="756" t="s">
        <v>4</v>
      </c>
      <c r="B15" s="756"/>
      <c r="C15" s="756"/>
      <c r="D15" s="756"/>
      <c r="E15" s="756"/>
      <c r="F15" s="756"/>
      <c r="G15" s="756"/>
      <c r="H15" s="756"/>
      <c r="I15" s="756"/>
      <c r="J15" s="756"/>
      <c r="K15" s="756"/>
      <c r="L15" s="153"/>
      <c r="M15" s="153"/>
      <c r="N15" s="153"/>
      <c r="O15" s="153"/>
      <c r="P15" s="153"/>
      <c r="AF15" s="1">
        <f t="shared" si="7"/>
        <v>0</v>
      </c>
    </row>
    <row r="16" spans="1:33" ht="24.7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31" ht="24.75" customHeight="1" x14ac:dyDescent="0.25">
      <c r="A17" s="751" t="s">
        <v>230</v>
      </c>
      <c r="B17" s="751"/>
      <c r="C17" s="751"/>
      <c r="D17" s="751"/>
      <c r="E17" s="751"/>
      <c r="F17" s="751"/>
      <c r="G17" s="751"/>
      <c r="H17" s="751"/>
      <c r="I17" s="114"/>
      <c r="J17" s="114"/>
      <c r="K17" s="114"/>
      <c r="L17" s="114"/>
      <c r="M17" s="114"/>
      <c r="N17" s="114"/>
      <c r="O17" s="114"/>
      <c r="P17" s="43">
        <v>15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E17" s="29"/>
    </row>
    <row r="20" spans="1:31" x14ac:dyDescent="0.25">
      <c r="L20">
        <f>93.51/33.2</f>
        <v>2.8165662650602408</v>
      </c>
    </row>
    <row r="21" spans="1:31" x14ac:dyDescent="0.25">
      <c r="L21">
        <f>L20-1</f>
        <v>1.8165662650602408</v>
      </c>
    </row>
    <row r="22" spans="1:31" x14ac:dyDescent="0.25">
      <c r="L22">
        <f>L21*100</f>
        <v>181.65662650602408</v>
      </c>
      <c r="O22" s="564">
        <f>P12+P11+P8</f>
        <v>93.509495999999984</v>
      </c>
    </row>
  </sheetData>
  <mergeCells count="15">
    <mergeCell ref="A3:B4"/>
    <mergeCell ref="A17:H17"/>
    <mergeCell ref="A13:B13"/>
    <mergeCell ref="A1:P1"/>
    <mergeCell ref="A2:P2"/>
    <mergeCell ref="C3:N3"/>
    <mergeCell ref="A15:K15"/>
    <mergeCell ref="A5:B5"/>
    <mergeCell ref="A6:B6"/>
    <mergeCell ref="A7:B7"/>
    <mergeCell ref="A8:B8"/>
    <mergeCell ref="A9:B9"/>
    <mergeCell ref="A10:B10"/>
    <mergeCell ref="A11:B11"/>
    <mergeCell ref="A12:B12"/>
  </mergeCells>
  <printOptions horizontalCentered="1"/>
  <pageMargins left="0.45" right="0.45" top="0.5" bottom="0.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30"/>
  <sheetViews>
    <sheetView rightToLeft="1" view="pageBreakPreview" topLeftCell="A10" zoomScale="90" zoomScaleSheetLayoutView="90" workbookViewId="0">
      <selection activeCell="H24" sqref="H24"/>
    </sheetView>
  </sheetViews>
  <sheetFormatPr defaultColWidth="10.42578125" defaultRowHeight="15" x14ac:dyDescent="0.25"/>
  <cols>
    <col min="1" max="1" width="11.140625" customWidth="1"/>
    <col min="2" max="3" width="9.5703125" customWidth="1"/>
    <col min="4" max="4" width="14.5703125" customWidth="1"/>
    <col min="5" max="5" width="14.85546875" customWidth="1"/>
    <col min="6" max="6" width="14.5703125" customWidth="1"/>
    <col min="7" max="10" width="13.28515625" customWidth="1"/>
    <col min="11" max="11" width="14.5703125" customWidth="1"/>
  </cols>
  <sheetData>
    <row r="1" spans="1:21" ht="23.25" customHeight="1" x14ac:dyDescent="0.25">
      <c r="A1" s="819" t="s">
        <v>436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</row>
    <row r="2" spans="1:21" ht="23.25" customHeight="1" thickBot="1" x14ac:dyDescent="0.3">
      <c r="A2" s="820" t="s">
        <v>406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</row>
    <row r="3" spans="1:21" ht="28.5" customHeight="1" thickTop="1" x14ac:dyDescent="0.25">
      <c r="A3" s="788" t="s">
        <v>75</v>
      </c>
      <c r="B3" s="793" t="s">
        <v>261</v>
      </c>
      <c r="C3" s="793"/>
      <c r="D3" s="425" t="s">
        <v>283</v>
      </c>
      <c r="E3" s="425" t="s">
        <v>346</v>
      </c>
      <c r="F3" s="425" t="s">
        <v>347</v>
      </c>
      <c r="G3" s="793" t="s">
        <v>348</v>
      </c>
      <c r="H3" s="793"/>
      <c r="I3" s="793"/>
      <c r="J3" s="793"/>
      <c r="K3" s="821" t="s">
        <v>262</v>
      </c>
    </row>
    <row r="4" spans="1:21" ht="25.5" customHeight="1" x14ac:dyDescent="0.25">
      <c r="A4" s="795"/>
      <c r="B4" s="271" t="s">
        <v>282</v>
      </c>
      <c r="C4" s="271" t="s">
        <v>254</v>
      </c>
      <c r="D4" s="314" t="s">
        <v>284</v>
      </c>
      <c r="E4" s="314" t="s">
        <v>284</v>
      </c>
      <c r="F4" s="314" t="s">
        <v>284</v>
      </c>
      <c r="G4" s="264" t="s">
        <v>288</v>
      </c>
      <c r="H4" s="264" t="s">
        <v>285</v>
      </c>
      <c r="I4" s="264" t="s">
        <v>286</v>
      </c>
      <c r="J4" s="264" t="s">
        <v>26</v>
      </c>
      <c r="K4" s="822"/>
    </row>
    <row r="5" spans="1:21" s="19" customFormat="1" ht="23.25" customHeight="1" x14ac:dyDescent="0.25">
      <c r="A5" s="628" t="s">
        <v>76</v>
      </c>
      <c r="B5" s="632">
        <v>0</v>
      </c>
      <c r="C5" s="599">
        <f>B5/300*100</f>
        <v>0</v>
      </c>
      <c r="D5" s="631">
        <v>0</v>
      </c>
      <c r="E5" s="631">
        <v>0</v>
      </c>
      <c r="F5" s="631">
        <v>0</v>
      </c>
      <c r="G5" s="631">
        <v>0</v>
      </c>
      <c r="H5" s="456">
        <v>0</v>
      </c>
      <c r="I5" s="456">
        <v>0</v>
      </c>
      <c r="J5" s="456">
        <f t="shared" ref="J5:J20" si="0">SUM(G5:I5)</f>
        <v>0</v>
      </c>
      <c r="K5" s="599">
        <v>0</v>
      </c>
    </row>
    <row r="6" spans="1:21" s="299" customFormat="1" ht="23.25" customHeight="1" x14ac:dyDescent="0.2">
      <c r="A6" s="628" t="s">
        <v>77</v>
      </c>
      <c r="B6" s="632">
        <v>5</v>
      </c>
      <c r="C6" s="599">
        <f t="shared" ref="C6:C20" si="1">B6/300*100</f>
        <v>1.6666666666666667</v>
      </c>
      <c r="D6" s="631">
        <v>1650</v>
      </c>
      <c r="E6" s="631">
        <v>1485</v>
      </c>
      <c r="F6" s="631">
        <v>1485</v>
      </c>
      <c r="G6" s="631">
        <v>0</v>
      </c>
      <c r="H6" s="456">
        <v>0</v>
      </c>
      <c r="I6" s="456">
        <v>2970</v>
      </c>
      <c r="J6" s="456">
        <f t="shared" si="0"/>
        <v>2970</v>
      </c>
      <c r="K6" s="599">
        <f t="shared" ref="K6:K21" si="2">F6/D6*100</f>
        <v>90</v>
      </c>
      <c r="L6" s="597"/>
      <c r="M6" s="597"/>
      <c r="O6" s="633"/>
    </row>
    <row r="7" spans="1:21" s="299" customFormat="1" ht="23.25" customHeight="1" x14ac:dyDescent="0.6">
      <c r="A7" s="253" t="s">
        <v>78</v>
      </c>
      <c r="B7" s="254">
        <v>32</v>
      </c>
      <c r="C7" s="599">
        <f t="shared" si="1"/>
        <v>10.666666666666668</v>
      </c>
      <c r="D7" s="342">
        <v>82</v>
      </c>
      <c r="E7" s="342">
        <v>25</v>
      </c>
      <c r="F7" s="342">
        <v>25</v>
      </c>
      <c r="G7" s="342">
        <v>0</v>
      </c>
      <c r="H7" s="255">
        <v>0</v>
      </c>
      <c r="I7" s="255">
        <v>50</v>
      </c>
      <c r="J7" s="456">
        <f t="shared" si="0"/>
        <v>50</v>
      </c>
      <c r="K7" s="599">
        <f t="shared" si="2"/>
        <v>30.487804878048781</v>
      </c>
      <c r="L7" s="597"/>
      <c r="M7" s="597"/>
      <c r="N7" s="818"/>
      <c r="O7" s="818"/>
      <c r="P7" s="818"/>
      <c r="Q7" s="818"/>
      <c r="R7" s="818"/>
      <c r="S7" s="818"/>
      <c r="T7" s="818"/>
      <c r="U7" s="621"/>
    </row>
    <row r="8" spans="1:21" s="299" customFormat="1" ht="23.25" customHeight="1" x14ac:dyDescent="0.6">
      <c r="A8" s="253" t="s">
        <v>336</v>
      </c>
      <c r="B8" s="254">
        <v>5</v>
      </c>
      <c r="C8" s="599">
        <f t="shared" si="1"/>
        <v>1.6666666666666667</v>
      </c>
      <c r="D8" s="342">
        <v>750</v>
      </c>
      <c r="E8" s="342">
        <v>450</v>
      </c>
      <c r="F8" s="342">
        <v>300</v>
      </c>
      <c r="G8" s="342">
        <v>0</v>
      </c>
      <c r="H8" s="255">
        <v>0</v>
      </c>
      <c r="I8" s="255">
        <v>900</v>
      </c>
      <c r="J8" s="456">
        <f t="shared" si="0"/>
        <v>900</v>
      </c>
      <c r="K8" s="599">
        <f t="shared" si="2"/>
        <v>40</v>
      </c>
      <c r="L8" s="597"/>
      <c r="M8" s="597"/>
      <c r="N8" s="620"/>
      <c r="O8" s="620"/>
      <c r="P8" s="620"/>
      <c r="Q8" s="620"/>
      <c r="R8" s="620"/>
      <c r="S8" s="620"/>
      <c r="T8" s="620"/>
      <c r="U8" s="621"/>
    </row>
    <row r="9" spans="1:21" s="299" customFormat="1" ht="23.25" customHeight="1" x14ac:dyDescent="0.2">
      <c r="A9" s="253" t="s">
        <v>89</v>
      </c>
      <c r="B9" s="254">
        <v>0</v>
      </c>
      <c r="C9" s="599">
        <f t="shared" si="1"/>
        <v>0</v>
      </c>
      <c r="D9" s="342">
        <v>0</v>
      </c>
      <c r="E9" s="342">
        <v>0</v>
      </c>
      <c r="F9" s="342">
        <v>0</v>
      </c>
      <c r="G9" s="342">
        <v>0</v>
      </c>
      <c r="H9" s="255">
        <v>0</v>
      </c>
      <c r="I9" s="255">
        <v>0</v>
      </c>
      <c r="J9" s="456">
        <f t="shared" si="0"/>
        <v>0</v>
      </c>
      <c r="K9" s="599">
        <v>0</v>
      </c>
      <c r="L9" s="597"/>
      <c r="M9" s="597"/>
      <c r="N9" s="458"/>
      <c r="O9" s="598"/>
      <c r="P9" s="459"/>
      <c r="Q9" s="459"/>
      <c r="R9" s="600"/>
      <c r="S9" s="600"/>
      <c r="T9" s="600"/>
    </row>
    <row r="10" spans="1:21" s="299" customFormat="1" ht="23.25" customHeight="1" x14ac:dyDescent="0.2">
      <c r="A10" s="253" t="s">
        <v>80</v>
      </c>
      <c r="B10" s="254">
        <v>5</v>
      </c>
      <c r="C10" s="599">
        <f t="shared" si="1"/>
        <v>1.6666666666666667</v>
      </c>
      <c r="D10" s="342">
        <v>100</v>
      </c>
      <c r="E10" s="342">
        <v>60</v>
      </c>
      <c r="F10" s="342">
        <v>60</v>
      </c>
      <c r="G10" s="342">
        <v>63</v>
      </c>
      <c r="H10" s="255">
        <v>0</v>
      </c>
      <c r="I10" s="255">
        <v>0</v>
      </c>
      <c r="J10" s="456">
        <f t="shared" si="0"/>
        <v>63</v>
      </c>
      <c r="K10" s="599">
        <f t="shared" si="2"/>
        <v>60</v>
      </c>
      <c r="L10" s="597"/>
      <c r="M10" s="597"/>
      <c r="N10" s="641"/>
      <c r="O10" s="598"/>
      <c r="P10" s="459"/>
      <c r="Q10" s="459"/>
      <c r="R10" s="600"/>
      <c r="S10" s="600"/>
      <c r="T10" s="600"/>
    </row>
    <row r="11" spans="1:21" s="299" customFormat="1" ht="23.25" customHeight="1" x14ac:dyDescent="0.2">
      <c r="A11" s="253" t="s">
        <v>82</v>
      </c>
      <c r="B11" s="254">
        <v>4</v>
      </c>
      <c r="C11" s="599">
        <f t="shared" si="1"/>
        <v>1.3333333333333335</v>
      </c>
      <c r="D11" s="342">
        <v>408</v>
      </c>
      <c r="E11" s="342">
        <v>388</v>
      </c>
      <c r="F11" s="342">
        <v>345</v>
      </c>
      <c r="G11" s="342">
        <v>0</v>
      </c>
      <c r="H11" s="255">
        <v>0</v>
      </c>
      <c r="I11" s="255">
        <v>449</v>
      </c>
      <c r="J11" s="456">
        <f t="shared" si="0"/>
        <v>449</v>
      </c>
      <c r="K11" s="599">
        <f t="shared" si="2"/>
        <v>84.558823529411768</v>
      </c>
      <c r="L11" s="597"/>
      <c r="M11" s="597"/>
      <c r="N11" s="641"/>
      <c r="O11" s="598"/>
      <c r="P11" s="458"/>
      <c r="Q11" s="458"/>
    </row>
    <row r="12" spans="1:21" s="299" customFormat="1" ht="23.25" customHeight="1" x14ac:dyDescent="0.2">
      <c r="A12" s="253" t="s">
        <v>74</v>
      </c>
      <c r="B12" s="254">
        <v>0</v>
      </c>
      <c r="C12" s="599">
        <f t="shared" si="1"/>
        <v>0</v>
      </c>
      <c r="D12" s="342">
        <v>0</v>
      </c>
      <c r="E12" s="342">
        <v>0</v>
      </c>
      <c r="F12" s="342">
        <v>0</v>
      </c>
      <c r="G12" s="578">
        <v>0</v>
      </c>
      <c r="H12" s="251">
        <v>0</v>
      </c>
      <c r="I12" s="251">
        <v>0</v>
      </c>
      <c r="J12" s="456">
        <f t="shared" si="0"/>
        <v>0</v>
      </c>
      <c r="K12" s="599">
        <v>0</v>
      </c>
      <c r="L12" s="597"/>
      <c r="M12" s="597"/>
      <c r="N12" s="681"/>
      <c r="O12" s="598"/>
      <c r="P12" s="458"/>
      <c r="Q12" s="458"/>
    </row>
    <row r="13" spans="1:21" s="299" customFormat="1" ht="23.25" customHeight="1" x14ac:dyDescent="0.2">
      <c r="A13" s="253" t="s">
        <v>81</v>
      </c>
      <c r="B13" s="254">
        <v>24</v>
      </c>
      <c r="C13" s="599">
        <f t="shared" si="1"/>
        <v>8</v>
      </c>
      <c r="D13" s="342">
        <v>1400</v>
      </c>
      <c r="E13" s="342">
        <v>1000</v>
      </c>
      <c r="F13" s="342">
        <v>700</v>
      </c>
      <c r="G13" s="342">
        <v>235</v>
      </c>
      <c r="H13" s="255">
        <v>265</v>
      </c>
      <c r="I13" s="255">
        <v>235</v>
      </c>
      <c r="J13" s="456">
        <f t="shared" si="0"/>
        <v>735</v>
      </c>
      <c r="K13" s="599">
        <f t="shared" si="2"/>
        <v>50</v>
      </c>
      <c r="L13" s="597"/>
      <c r="M13" s="597"/>
      <c r="N13" s="681"/>
      <c r="O13" s="598"/>
      <c r="P13" s="458"/>
      <c r="Q13" s="458"/>
    </row>
    <row r="14" spans="1:21" s="299" customFormat="1" ht="23.25" customHeight="1" x14ac:dyDescent="0.2">
      <c r="A14" s="253" t="s">
        <v>287</v>
      </c>
      <c r="B14" s="642">
        <v>10</v>
      </c>
      <c r="C14" s="599">
        <f t="shared" si="1"/>
        <v>3.3333333333333335</v>
      </c>
      <c r="D14" s="342">
        <v>624</v>
      </c>
      <c r="E14" s="342">
        <v>90</v>
      </c>
      <c r="F14" s="342">
        <v>60</v>
      </c>
      <c r="G14" s="342">
        <v>0</v>
      </c>
      <c r="H14" s="255">
        <v>61</v>
      </c>
      <c r="I14" s="255">
        <v>0</v>
      </c>
      <c r="J14" s="456">
        <f t="shared" si="0"/>
        <v>61</v>
      </c>
      <c r="K14" s="599">
        <f t="shared" si="2"/>
        <v>9.6153846153846168</v>
      </c>
      <c r="L14" s="597"/>
      <c r="M14" s="597"/>
      <c r="N14" s="253"/>
      <c r="O14" s="598"/>
      <c r="P14" s="458"/>
      <c r="Q14" s="458"/>
    </row>
    <row r="15" spans="1:21" s="298" customFormat="1" ht="23.25" customHeight="1" x14ac:dyDescent="0.2">
      <c r="A15" s="253" t="s">
        <v>83</v>
      </c>
      <c r="B15" s="254">
        <v>8</v>
      </c>
      <c r="C15" s="599">
        <f t="shared" si="1"/>
        <v>2.666666666666667</v>
      </c>
      <c r="D15" s="342">
        <v>1500</v>
      </c>
      <c r="E15" s="342">
        <v>1375</v>
      </c>
      <c r="F15" s="342">
        <v>875</v>
      </c>
      <c r="G15" s="342">
        <v>1550</v>
      </c>
      <c r="H15" s="255">
        <v>0</v>
      </c>
      <c r="I15" s="255">
        <v>1650</v>
      </c>
      <c r="J15" s="456">
        <f t="shared" si="0"/>
        <v>3200</v>
      </c>
      <c r="K15" s="599">
        <f t="shared" si="2"/>
        <v>58.333333333333336</v>
      </c>
      <c r="L15" s="597"/>
      <c r="M15" s="597"/>
      <c r="N15" s="253"/>
      <c r="O15" s="598"/>
      <c r="P15" s="458"/>
      <c r="Q15" s="458"/>
    </row>
    <row r="16" spans="1:21" s="298" customFormat="1" ht="23.25" customHeight="1" x14ac:dyDescent="0.2">
      <c r="A16" s="253" t="s">
        <v>84</v>
      </c>
      <c r="B16" s="254">
        <v>25</v>
      </c>
      <c r="C16" s="599">
        <f t="shared" si="1"/>
        <v>8.3333333333333321</v>
      </c>
      <c r="D16" s="342">
        <v>1190</v>
      </c>
      <c r="E16" s="342">
        <v>1150</v>
      </c>
      <c r="F16" s="342">
        <v>130</v>
      </c>
      <c r="G16" s="342">
        <v>0</v>
      </c>
      <c r="H16" s="255">
        <v>200</v>
      </c>
      <c r="I16" s="255">
        <v>0</v>
      </c>
      <c r="J16" s="456">
        <f t="shared" si="0"/>
        <v>200</v>
      </c>
      <c r="K16" s="599">
        <f t="shared" si="2"/>
        <v>10.92436974789916</v>
      </c>
      <c r="L16" s="597"/>
      <c r="M16" s="597"/>
      <c r="N16" s="458"/>
      <c r="O16" s="598"/>
      <c r="P16" s="458"/>
      <c r="Q16" s="458"/>
    </row>
    <row r="17" spans="1:17" s="298" customFormat="1" ht="23.25" customHeight="1" x14ac:dyDescent="0.2">
      <c r="A17" s="253" t="s">
        <v>85</v>
      </c>
      <c r="B17" s="254">
        <v>48</v>
      </c>
      <c r="C17" s="599">
        <f t="shared" si="1"/>
        <v>16</v>
      </c>
      <c r="D17" s="342">
        <v>8166</v>
      </c>
      <c r="E17" s="342">
        <v>875</v>
      </c>
      <c r="F17" s="342">
        <v>740</v>
      </c>
      <c r="G17" s="342">
        <v>1000</v>
      </c>
      <c r="H17" s="255">
        <v>0</v>
      </c>
      <c r="I17" s="255">
        <v>200</v>
      </c>
      <c r="J17" s="456">
        <f t="shared" si="0"/>
        <v>1200</v>
      </c>
      <c r="K17" s="599">
        <f t="shared" si="2"/>
        <v>9.0619642419789379</v>
      </c>
      <c r="L17" s="597"/>
      <c r="M17" s="597"/>
      <c r="N17" s="458"/>
      <c r="O17" s="598"/>
      <c r="P17" s="458"/>
      <c r="Q17" s="458"/>
    </row>
    <row r="18" spans="1:17" s="298" customFormat="1" ht="23.25" customHeight="1" x14ac:dyDescent="0.2">
      <c r="A18" s="253" t="s">
        <v>86</v>
      </c>
      <c r="B18" s="254">
        <v>79</v>
      </c>
      <c r="C18" s="599">
        <f t="shared" si="1"/>
        <v>26.333333333333332</v>
      </c>
      <c r="D18" s="342">
        <v>21800</v>
      </c>
      <c r="E18" s="342">
        <v>3150</v>
      </c>
      <c r="F18" s="342">
        <v>2250</v>
      </c>
      <c r="G18" s="342">
        <v>1500</v>
      </c>
      <c r="H18" s="255">
        <v>750</v>
      </c>
      <c r="I18" s="255">
        <v>0</v>
      </c>
      <c r="J18" s="456">
        <f t="shared" si="0"/>
        <v>2250</v>
      </c>
      <c r="K18" s="599">
        <f t="shared" si="2"/>
        <v>10.321100917431194</v>
      </c>
      <c r="L18" s="597"/>
      <c r="M18" s="597"/>
      <c r="N18" s="458"/>
      <c r="O18" s="598"/>
      <c r="P18" s="458"/>
      <c r="Q18" s="458"/>
    </row>
    <row r="19" spans="1:17" s="298" customFormat="1" ht="23.25" customHeight="1" x14ac:dyDescent="0.2">
      <c r="A19" s="253" t="s">
        <v>87</v>
      </c>
      <c r="B19" s="254">
        <v>12</v>
      </c>
      <c r="C19" s="599">
        <f t="shared" si="1"/>
        <v>4</v>
      </c>
      <c r="D19" s="342">
        <v>7200</v>
      </c>
      <c r="E19" s="342">
        <v>6480</v>
      </c>
      <c r="F19" s="342">
        <v>4416</v>
      </c>
      <c r="G19" s="342">
        <v>7950</v>
      </c>
      <c r="H19" s="255">
        <v>0</v>
      </c>
      <c r="I19" s="255">
        <v>0</v>
      </c>
      <c r="J19" s="456">
        <f t="shared" si="0"/>
        <v>7950</v>
      </c>
      <c r="K19" s="599">
        <f t="shared" si="2"/>
        <v>61.333333333333329</v>
      </c>
      <c r="L19" s="597"/>
      <c r="M19" s="597"/>
      <c r="N19" s="458"/>
      <c r="O19" s="598"/>
      <c r="P19" s="458"/>
      <c r="Q19" s="458"/>
    </row>
    <row r="20" spans="1:17" s="298" customFormat="1" ht="23.25" customHeight="1" thickBot="1" x14ac:dyDescent="0.25">
      <c r="A20" s="256" t="s">
        <v>88</v>
      </c>
      <c r="B20" s="254">
        <v>43</v>
      </c>
      <c r="C20" s="599">
        <f t="shared" si="1"/>
        <v>14.333333333333334</v>
      </c>
      <c r="D20" s="578">
        <v>50952</v>
      </c>
      <c r="E20" s="578">
        <v>9029</v>
      </c>
      <c r="F20" s="578">
        <v>5267</v>
      </c>
      <c r="G20" s="578">
        <v>10534</v>
      </c>
      <c r="H20" s="251">
        <v>0</v>
      </c>
      <c r="I20" s="251">
        <v>0</v>
      </c>
      <c r="J20" s="456">
        <f t="shared" si="0"/>
        <v>10534</v>
      </c>
      <c r="K20" s="599">
        <f t="shared" si="2"/>
        <v>10.337180091066102</v>
      </c>
      <c r="L20" s="597"/>
      <c r="M20" s="597"/>
      <c r="N20" s="458"/>
      <c r="O20" s="598"/>
      <c r="P20" s="458"/>
      <c r="Q20" s="458"/>
    </row>
    <row r="21" spans="1:17" s="246" customFormat="1" ht="23.25" customHeight="1" thickTop="1" thickBot="1" x14ac:dyDescent="0.25">
      <c r="A21" s="265" t="s">
        <v>313</v>
      </c>
      <c r="B21" s="267">
        <f t="shared" ref="B21:J21" si="3">SUM(B5:B20)</f>
        <v>300</v>
      </c>
      <c r="C21" s="273">
        <f t="shared" si="3"/>
        <v>99.999999999999986</v>
      </c>
      <c r="D21" s="267">
        <f t="shared" si="3"/>
        <v>95822</v>
      </c>
      <c r="E21" s="267">
        <f t="shared" si="3"/>
        <v>25557</v>
      </c>
      <c r="F21" s="267">
        <f t="shared" si="3"/>
        <v>16653</v>
      </c>
      <c r="G21" s="267">
        <f t="shared" si="3"/>
        <v>22832</v>
      </c>
      <c r="H21" s="267">
        <f t="shared" si="3"/>
        <v>1276</v>
      </c>
      <c r="I21" s="267">
        <f t="shared" si="3"/>
        <v>6454</v>
      </c>
      <c r="J21" s="267">
        <f t="shared" si="3"/>
        <v>30562</v>
      </c>
      <c r="K21" s="273">
        <f t="shared" si="2"/>
        <v>17.379098745590781</v>
      </c>
      <c r="L21" s="257"/>
      <c r="M21" s="257"/>
      <c r="N21" s="257"/>
      <c r="O21" s="249"/>
      <c r="P21" s="248"/>
      <c r="Q21" s="248"/>
    </row>
    <row r="22" spans="1:17" s="246" customFormat="1" ht="17.25" customHeight="1" thickTop="1" x14ac:dyDescent="0.25">
      <c r="A22" s="817" t="s">
        <v>326</v>
      </c>
      <c r="B22" s="817"/>
      <c r="C22" s="817"/>
      <c r="D22" s="817"/>
      <c r="E22" s="817"/>
      <c r="F22" s="817"/>
      <c r="G22" s="817"/>
      <c r="H22"/>
      <c r="I22"/>
      <c r="J22"/>
      <c r="K22" s="257"/>
      <c r="L22" s="249"/>
      <c r="M22" s="248"/>
      <c r="N22" s="248"/>
    </row>
    <row r="23" spans="1:17" s="246" customFormat="1" ht="17.25" customHeight="1" x14ac:dyDescent="0.2">
      <c r="A23" s="815" t="s">
        <v>327</v>
      </c>
      <c r="B23" s="815"/>
      <c r="C23" s="815"/>
      <c r="D23" s="815"/>
      <c r="E23" s="815"/>
      <c r="F23" s="815"/>
      <c r="G23" s="815"/>
      <c r="H23" s="260"/>
      <c r="I23" s="260"/>
      <c r="J23" s="262"/>
      <c r="K23" s="257"/>
      <c r="L23" s="257"/>
      <c r="M23" s="249"/>
      <c r="N23" s="248"/>
      <c r="O23" s="248"/>
    </row>
    <row r="24" spans="1:17" s="246" customFormat="1" ht="17.25" customHeight="1" thickBot="1" x14ac:dyDescent="0.25">
      <c r="A24" s="816"/>
      <c r="B24" s="816"/>
      <c r="C24" s="816"/>
      <c r="D24" s="816"/>
      <c r="E24" s="816"/>
      <c r="F24" s="816"/>
      <c r="G24" s="816"/>
      <c r="H24" s="260"/>
      <c r="I24" s="260"/>
      <c r="J24" s="262"/>
      <c r="K24" s="257"/>
      <c r="L24" s="257"/>
      <c r="M24" s="249"/>
      <c r="N24" s="248"/>
      <c r="O24" s="248"/>
    </row>
    <row r="25" spans="1:17" ht="17.25" customHeight="1" x14ac:dyDescent="0.25">
      <c r="A25" s="811" t="s">
        <v>255</v>
      </c>
      <c r="B25" s="811"/>
      <c r="C25" s="811"/>
      <c r="D25" s="811"/>
      <c r="E25" s="811"/>
      <c r="F25" s="811"/>
      <c r="G25" s="811"/>
      <c r="H25" s="811"/>
      <c r="I25" s="811"/>
      <c r="J25" s="811"/>
      <c r="K25" s="320">
        <v>24</v>
      </c>
      <c r="L25" s="14"/>
      <c r="M25" s="14"/>
      <c r="N25" s="14"/>
      <c r="O25" s="14"/>
      <c r="P25" s="14"/>
      <c r="Q25" s="14"/>
    </row>
    <row r="26" spans="1:17" x14ac:dyDescent="0.25">
      <c r="L26" s="14"/>
      <c r="M26" s="14"/>
      <c r="N26" s="14"/>
      <c r="O26" s="14"/>
      <c r="P26" s="14"/>
      <c r="Q26" s="14"/>
    </row>
    <row r="27" spans="1:17" x14ac:dyDescent="0.25">
      <c r="L27" s="14"/>
      <c r="M27" s="14"/>
      <c r="N27" s="14"/>
      <c r="O27" s="14"/>
      <c r="P27" s="14"/>
      <c r="Q27" s="14"/>
    </row>
    <row r="28" spans="1:17" x14ac:dyDescent="0.25">
      <c r="G28" s="455">
        <f>J21-G21</f>
        <v>7730</v>
      </c>
      <c r="L28" s="14"/>
      <c r="M28" s="14"/>
      <c r="N28" s="14"/>
      <c r="O28" s="14"/>
      <c r="P28" s="14"/>
      <c r="Q28" s="14"/>
    </row>
    <row r="29" spans="1:17" x14ac:dyDescent="0.25">
      <c r="L29" s="14"/>
      <c r="M29" s="14"/>
      <c r="N29" s="14"/>
      <c r="O29" s="14"/>
      <c r="P29" s="14"/>
      <c r="Q29" s="14"/>
    </row>
    <row r="30" spans="1:17" x14ac:dyDescent="0.25">
      <c r="L30" s="14"/>
      <c r="M30" s="14"/>
      <c r="N30" s="14"/>
      <c r="O30" s="14"/>
      <c r="P30" s="14"/>
      <c r="Q30" s="14"/>
    </row>
  </sheetData>
  <mergeCells count="11">
    <mergeCell ref="N7:T7"/>
    <mergeCell ref="A25:J25"/>
    <mergeCell ref="A1:K1"/>
    <mergeCell ref="A2:K2"/>
    <mergeCell ref="A3:A4"/>
    <mergeCell ref="B3:C3"/>
    <mergeCell ref="K3:K4"/>
    <mergeCell ref="G3:J3"/>
    <mergeCell ref="A23:G23"/>
    <mergeCell ref="A24:G24"/>
    <mergeCell ref="A22:G22"/>
  </mergeCells>
  <printOptions horizontalCentered="1"/>
  <pageMargins left="0.55118110236220474" right="0.55118110236220474" top="0.51181102362204722" bottom="0.51181102362204722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30"/>
  <sheetViews>
    <sheetView rightToLeft="1" view="pageBreakPreview" topLeftCell="A10" zoomScale="90" zoomScaleSheetLayoutView="90" workbookViewId="0">
      <selection activeCell="A24" sqref="A24:J24"/>
    </sheetView>
  </sheetViews>
  <sheetFormatPr defaultColWidth="10.42578125" defaultRowHeight="15" x14ac:dyDescent="0.25"/>
  <cols>
    <col min="1" max="1" width="11.85546875" customWidth="1"/>
    <col min="2" max="3" width="9.5703125" customWidth="1"/>
    <col min="4" max="4" width="0.85546875" customWidth="1"/>
    <col min="5" max="6" width="9.5703125" customWidth="1"/>
    <col min="7" max="7" width="14.5703125" customWidth="1"/>
    <col min="8" max="8" width="14.85546875" customWidth="1"/>
    <col min="9" max="9" width="14.5703125" customWidth="1"/>
    <col min="10" max="10" width="19" customWidth="1"/>
    <col min="11" max="11" width="14.5703125" customWidth="1"/>
  </cols>
  <sheetData>
    <row r="1" spans="1:21" ht="23.25" customHeight="1" x14ac:dyDescent="0.25">
      <c r="A1" s="819" t="s">
        <v>437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</row>
    <row r="2" spans="1:21" ht="23.25" customHeight="1" thickBot="1" x14ac:dyDescent="0.3">
      <c r="A2" s="820" t="s">
        <v>407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</row>
    <row r="3" spans="1:21" ht="30" customHeight="1" thickTop="1" x14ac:dyDescent="0.25">
      <c r="A3" s="788" t="s">
        <v>75</v>
      </c>
      <c r="B3" s="793" t="s">
        <v>344</v>
      </c>
      <c r="C3" s="793"/>
      <c r="D3" s="467"/>
      <c r="E3" s="793" t="s">
        <v>345</v>
      </c>
      <c r="F3" s="793"/>
      <c r="G3" s="425" t="s">
        <v>283</v>
      </c>
      <c r="H3" s="425" t="s">
        <v>346</v>
      </c>
      <c r="I3" s="425" t="s">
        <v>347</v>
      </c>
      <c r="J3" s="788" t="s">
        <v>349</v>
      </c>
      <c r="K3" s="788" t="s">
        <v>259</v>
      </c>
    </row>
    <row r="4" spans="1:21" ht="25.5" customHeight="1" x14ac:dyDescent="0.25">
      <c r="A4" s="795"/>
      <c r="B4" s="271" t="s">
        <v>282</v>
      </c>
      <c r="C4" s="271" t="s">
        <v>254</v>
      </c>
      <c r="D4" s="468"/>
      <c r="E4" s="271" t="s">
        <v>253</v>
      </c>
      <c r="F4" s="271" t="s">
        <v>254</v>
      </c>
      <c r="G4" s="426" t="s">
        <v>284</v>
      </c>
      <c r="H4" s="426" t="s">
        <v>284</v>
      </c>
      <c r="I4" s="426" t="s">
        <v>284</v>
      </c>
      <c r="J4" s="795"/>
      <c r="K4" s="795"/>
    </row>
    <row r="5" spans="1:21" s="19" customFormat="1" ht="21.75" customHeight="1" x14ac:dyDescent="0.25">
      <c r="A5" s="628" t="s">
        <v>76</v>
      </c>
      <c r="B5" s="632">
        <v>481</v>
      </c>
      <c r="C5" s="599">
        <f>B5/949*100</f>
        <v>50.684931506849317</v>
      </c>
      <c r="D5" s="599"/>
      <c r="E5" s="601">
        <v>481</v>
      </c>
      <c r="F5" s="599">
        <f>E5/733*100</f>
        <v>65.620736698499314</v>
      </c>
      <c r="G5" s="631">
        <v>8975</v>
      </c>
      <c r="H5" s="631">
        <v>8079</v>
      </c>
      <c r="I5" s="631">
        <v>8975</v>
      </c>
      <c r="J5" s="631">
        <v>8975</v>
      </c>
      <c r="K5" s="602">
        <f>I5/G5*100</f>
        <v>100</v>
      </c>
    </row>
    <row r="6" spans="1:21" s="299" customFormat="1" ht="21.75" customHeight="1" x14ac:dyDescent="0.2">
      <c r="A6" s="628" t="s">
        <v>77</v>
      </c>
      <c r="B6" s="632">
        <v>376</v>
      </c>
      <c r="C6" s="599">
        <f t="shared" ref="C6:C21" si="0">B6/949*100</f>
        <v>39.620653319283456</v>
      </c>
      <c r="D6" s="599"/>
      <c r="E6" s="601">
        <v>178</v>
      </c>
      <c r="F6" s="599">
        <f t="shared" ref="F6:F21" si="1">E6/733*100</f>
        <v>24.283765347885403</v>
      </c>
      <c r="G6" s="631">
        <v>104130</v>
      </c>
      <c r="H6" s="631">
        <v>93717</v>
      </c>
      <c r="I6" s="631">
        <v>60015</v>
      </c>
      <c r="J6" s="631">
        <v>60015</v>
      </c>
      <c r="K6" s="602">
        <f t="shared" ref="K6:K21" si="2">I6/G6*100</f>
        <v>57.634687409968308</v>
      </c>
      <c r="L6" s="597"/>
      <c r="M6" s="597"/>
      <c r="O6" s="633"/>
    </row>
    <row r="7" spans="1:21" s="299" customFormat="1" ht="21.75" customHeight="1" x14ac:dyDescent="0.6">
      <c r="A7" s="253" t="s">
        <v>78</v>
      </c>
      <c r="B7" s="254">
        <v>12</v>
      </c>
      <c r="C7" s="599">
        <f t="shared" si="0"/>
        <v>1.2644889357218125</v>
      </c>
      <c r="D7" s="599"/>
      <c r="E7" s="601">
        <v>12</v>
      </c>
      <c r="F7" s="599">
        <f t="shared" si="1"/>
        <v>1.6371077762619373</v>
      </c>
      <c r="G7" s="342">
        <v>245</v>
      </c>
      <c r="H7" s="342">
        <v>235</v>
      </c>
      <c r="I7" s="342">
        <v>235</v>
      </c>
      <c r="J7" s="578">
        <v>245</v>
      </c>
      <c r="K7" s="602">
        <f t="shared" si="2"/>
        <v>95.918367346938766</v>
      </c>
      <c r="L7" s="597"/>
      <c r="M7" s="597"/>
      <c r="N7" s="818"/>
      <c r="O7" s="818"/>
      <c r="P7" s="818"/>
      <c r="Q7" s="818"/>
      <c r="R7" s="818"/>
      <c r="S7" s="818"/>
      <c r="T7" s="818"/>
      <c r="U7" s="621"/>
    </row>
    <row r="8" spans="1:21" s="299" customFormat="1" ht="21.75" customHeight="1" x14ac:dyDescent="0.6">
      <c r="A8" s="253" t="s">
        <v>336</v>
      </c>
      <c r="B8" s="254">
        <v>0</v>
      </c>
      <c r="C8" s="599">
        <f t="shared" si="0"/>
        <v>0</v>
      </c>
      <c r="D8" s="599"/>
      <c r="E8" s="601">
        <v>0</v>
      </c>
      <c r="F8" s="599">
        <f t="shared" si="1"/>
        <v>0</v>
      </c>
      <c r="G8" s="342">
        <v>0</v>
      </c>
      <c r="H8" s="342">
        <v>0</v>
      </c>
      <c r="I8" s="342">
        <v>0</v>
      </c>
      <c r="J8" s="578">
        <v>0</v>
      </c>
      <c r="K8" s="599">
        <f t="shared" ref="K8:K10" si="3">J8/949*100</f>
        <v>0</v>
      </c>
      <c r="L8" s="597"/>
      <c r="M8" s="597"/>
      <c r="N8" s="620"/>
      <c r="O8" s="620"/>
      <c r="P8" s="620"/>
      <c r="Q8" s="620"/>
      <c r="R8" s="620"/>
      <c r="S8" s="620"/>
      <c r="T8" s="620"/>
      <c r="U8" s="621"/>
    </row>
    <row r="9" spans="1:21" s="299" customFormat="1" ht="21.75" customHeight="1" x14ac:dyDescent="0.2">
      <c r="A9" s="253" t="s">
        <v>89</v>
      </c>
      <c r="B9" s="254">
        <v>0</v>
      </c>
      <c r="C9" s="599">
        <f t="shared" si="0"/>
        <v>0</v>
      </c>
      <c r="D9" s="599"/>
      <c r="E9" s="601">
        <v>0</v>
      </c>
      <c r="F9" s="599">
        <f t="shared" si="1"/>
        <v>0</v>
      </c>
      <c r="G9" s="342">
        <v>0</v>
      </c>
      <c r="H9" s="342">
        <v>0</v>
      </c>
      <c r="I9" s="342">
        <v>0</v>
      </c>
      <c r="J9" s="578">
        <v>0</v>
      </c>
      <c r="K9" s="599">
        <f t="shared" si="3"/>
        <v>0</v>
      </c>
      <c r="L9" s="597"/>
      <c r="M9" s="597"/>
      <c r="N9" s="458"/>
      <c r="O9" s="598"/>
      <c r="P9" s="459"/>
      <c r="Q9" s="459"/>
      <c r="R9" s="600"/>
      <c r="S9" s="600"/>
      <c r="T9" s="600"/>
    </row>
    <row r="10" spans="1:21" s="299" customFormat="1" ht="21.75" customHeight="1" x14ac:dyDescent="0.2">
      <c r="A10" s="253" t="s">
        <v>80</v>
      </c>
      <c r="B10" s="254">
        <v>0</v>
      </c>
      <c r="C10" s="599">
        <f t="shared" si="0"/>
        <v>0</v>
      </c>
      <c r="D10" s="599"/>
      <c r="E10" s="601">
        <v>0</v>
      </c>
      <c r="F10" s="599">
        <f t="shared" si="1"/>
        <v>0</v>
      </c>
      <c r="G10" s="342">
        <v>0</v>
      </c>
      <c r="H10" s="342">
        <v>0</v>
      </c>
      <c r="I10" s="342">
        <v>0</v>
      </c>
      <c r="J10" s="578">
        <v>0</v>
      </c>
      <c r="K10" s="599">
        <f t="shared" si="3"/>
        <v>0</v>
      </c>
      <c r="L10" s="597"/>
      <c r="M10" s="597"/>
      <c r="N10" s="641"/>
      <c r="O10" s="598"/>
      <c r="P10" s="459"/>
      <c r="Q10" s="459"/>
      <c r="R10" s="600"/>
      <c r="S10" s="600"/>
      <c r="T10" s="600"/>
    </row>
    <row r="11" spans="1:21" s="299" customFormat="1" ht="21.75" customHeight="1" x14ac:dyDescent="0.2">
      <c r="A11" s="253" t="s">
        <v>82</v>
      </c>
      <c r="B11" s="254">
        <v>4</v>
      </c>
      <c r="C11" s="599">
        <f t="shared" si="0"/>
        <v>0.42149631190727077</v>
      </c>
      <c r="D11" s="599"/>
      <c r="E11" s="601">
        <v>4</v>
      </c>
      <c r="F11" s="599">
        <f t="shared" si="1"/>
        <v>0.54570259208731242</v>
      </c>
      <c r="G11" s="342">
        <v>408</v>
      </c>
      <c r="H11" s="342">
        <v>388</v>
      </c>
      <c r="I11" s="342">
        <v>345</v>
      </c>
      <c r="J11" s="578">
        <v>449</v>
      </c>
      <c r="K11" s="602">
        <f t="shared" si="2"/>
        <v>84.558823529411768</v>
      </c>
      <c r="L11" s="597"/>
      <c r="M11" s="597"/>
      <c r="N11" s="641"/>
      <c r="O11" s="598"/>
      <c r="P11" s="458"/>
      <c r="Q11" s="458"/>
    </row>
    <row r="12" spans="1:21" s="299" customFormat="1" ht="21.75" customHeight="1" x14ac:dyDescent="0.2">
      <c r="A12" s="253" t="s">
        <v>74</v>
      </c>
      <c r="B12" s="254">
        <v>0</v>
      </c>
      <c r="C12" s="599">
        <f t="shared" si="0"/>
        <v>0</v>
      </c>
      <c r="D12" s="599"/>
      <c r="E12" s="601">
        <v>0</v>
      </c>
      <c r="F12" s="599">
        <f t="shared" si="1"/>
        <v>0</v>
      </c>
      <c r="G12" s="342">
        <v>0</v>
      </c>
      <c r="H12" s="342">
        <v>0</v>
      </c>
      <c r="I12" s="342">
        <v>0</v>
      </c>
      <c r="J12" s="578">
        <v>0</v>
      </c>
      <c r="K12" s="599">
        <f t="shared" ref="K12" si="4">J12/949*100</f>
        <v>0</v>
      </c>
      <c r="L12" s="597"/>
      <c r="M12" s="597"/>
      <c r="N12" s="681"/>
      <c r="O12" s="598"/>
      <c r="P12" s="458"/>
      <c r="Q12" s="458"/>
    </row>
    <row r="13" spans="1:21" s="299" customFormat="1" ht="21.75" customHeight="1" x14ac:dyDescent="0.2">
      <c r="A13" s="253" t="s">
        <v>81</v>
      </c>
      <c r="B13" s="254">
        <v>14</v>
      </c>
      <c r="C13" s="599">
        <f t="shared" si="0"/>
        <v>1.4752370916754478</v>
      </c>
      <c r="D13" s="599"/>
      <c r="E13" s="601">
        <v>14</v>
      </c>
      <c r="F13" s="599">
        <f t="shared" si="1"/>
        <v>1.9099590723055935</v>
      </c>
      <c r="G13" s="342">
        <v>624</v>
      </c>
      <c r="H13" s="342">
        <v>500</v>
      </c>
      <c r="I13" s="342">
        <v>425</v>
      </c>
      <c r="J13" s="578">
        <v>446</v>
      </c>
      <c r="K13" s="602">
        <f t="shared" si="2"/>
        <v>68.108974358974365</v>
      </c>
      <c r="L13" s="597"/>
      <c r="M13" s="597"/>
      <c r="N13" s="681"/>
      <c r="O13" s="598"/>
      <c r="P13" s="458"/>
      <c r="Q13" s="458"/>
    </row>
    <row r="14" spans="1:21" s="299" customFormat="1" ht="21.75" customHeight="1" x14ac:dyDescent="0.2">
      <c r="A14" s="253" t="s">
        <v>287</v>
      </c>
      <c r="B14" s="642">
        <v>32</v>
      </c>
      <c r="C14" s="599">
        <f t="shared" si="0"/>
        <v>3.3719704952581662</v>
      </c>
      <c r="D14" s="599"/>
      <c r="E14" s="601">
        <v>5</v>
      </c>
      <c r="F14" s="599">
        <f t="shared" si="1"/>
        <v>0.68212824010914053</v>
      </c>
      <c r="G14" s="342">
        <v>20400</v>
      </c>
      <c r="H14" s="342">
        <v>8500</v>
      </c>
      <c r="I14" s="342">
        <v>6800</v>
      </c>
      <c r="J14" s="342">
        <v>7276</v>
      </c>
      <c r="K14" s="602">
        <f t="shared" si="2"/>
        <v>33.333333333333329</v>
      </c>
      <c r="L14" s="597"/>
      <c r="M14" s="597"/>
      <c r="N14" s="253"/>
      <c r="O14" s="598"/>
      <c r="P14" s="458"/>
      <c r="Q14" s="458"/>
    </row>
    <row r="15" spans="1:21" s="298" customFormat="1" ht="21.75" customHeight="1" x14ac:dyDescent="0.2">
      <c r="A15" s="253" t="s">
        <v>83</v>
      </c>
      <c r="B15" s="254">
        <v>3</v>
      </c>
      <c r="C15" s="599">
        <f t="shared" si="0"/>
        <v>0.31612223393045313</v>
      </c>
      <c r="D15" s="599"/>
      <c r="E15" s="601">
        <v>1</v>
      </c>
      <c r="F15" s="599">
        <f t="shared" si="1"/>
        <v>0.13642564802182811</v>
      </c>
      <c r="G15" s="342">
        <v>600</v>
      </c>
      <c r="H15" s="342">
        <v>600</v>
      </c>
      <c r="I15" s="342">
        <v>200</v>
      </c>
      <c r="J15" s="342">
        <v>220</v>
      </c>
      <c r="K15" s="602">
        <f t="shared" si="2"/>
        <v>33.333333333333329</v>
      </c>
      <c r="L15" s="597"/>
      <c r="M15" s="597"/>
      <c r="N15" s="253"/>
      <c r="O15" s="598"/>
      <c r="P15" s="458"/>
      <c r="Q15" s="458"/>
    </row>
    <row r="16" spans="1:21" s="298" customFormat="1" ht="21.75" customHeight="1" x14ac:dyDescent="0.2">
      <c r="A16" s="253" t="s">
        <v>84</v>
      </c>
      <c r="B16" s="254">
        <v>20</v>
      </c>
      <c r="C16" s="599">
        <f t="shared" si="0"/>
        <v>2.1074815595363541</v>
      </c>
      <c r="D16" s="599"/>
      <c r="E16" s="601">
        <v>20</v>
      </c>
      <c r="F16" s="599">
        <f t="shared" si="1"/>
        <v>2.7285129604365621</v>
      </c>
      <c r="G16" s="342">
        <v>1320</v>
      </c>
      <c r="H16" s="342">
        <v>150</v>
      </c>
      <c r="I16" s="342">
        <v>100</v>
      </c>
      <c r="J16" s="342">
        <v>175</v>
      </c>
      <c r="K16" s="602">
        <f t="shared" si="2"/>
        <v>7.5757575757575761</v>
      </c>
      <c r="L16" s="597"/>
      <c r="M16" s="597"/>
      <c r="N16" s="458"/>
      <c r="O16" s="598"/>
      <c r="P16" s="458"/>
      <c r="Q16" s="458"/>
    </row>
    <row r="17" spans="1:17" s="298" customFormat="1" ht="21.75" customHeight="1" x14ac:dyDescent="0.2">
      <c r="A17" s="253" t="s">
        <v>85</v>
      </c>
      <c r="B17" s="254">
        <v>7</v>
      </c>
      <c r="C17" s="599">
        <f t="shared" si="0"/>
        <v>0.7376185458377239</v>
      </c>
      <c r="D17" s="599"/>
      <c r="E17" s="601">
        <v>18</v>
      </c>
      <c r="F17" s="599">
        <f t="shared" si="1"/>
        <v>2.4556616643929061</v>
      </c>
      <c r="G17" s="342">
        <v>1356</v>
      </c>
      <c r="H17" s="342">
        <v>1340</v>
      </c>
      <c r="I17" s="342">
        <v>1206</v>
      </c>
      <c r="J17" s="342">
        <v>1400</v>
      </c>
      <c r="K17" s="602">
        <f t="shared" si="2"/>
        <v>88.938053097345133</v>
      </c>
      <c r="L17" s="597"/>
      <c r="M17" s="597"/>
      <c r="N17" s="458"/>
      <c r="O17" s="598"/>
      <c r="P17" s="458"/>
      <c r="Q17" s="458"/>
    </row>
    <row r="18" spans="1:17" s="298" customFormat="1" ht="21.75" customHeight="1" x14ac:dyDescent="0.2">
      <c r="A18" s="253" t="s">
        <v>86</v>
      </c>
      <c r="B18" s="254">
        <v>0</v>
      </c>
      <c r="C18" s="599">
        <f t="shared" si="0"/>
        <v>0</v>
      </c>
      <c r="D18" s="599"/>
      <c r="E18" s="601">
        <v>0</v>
      </c>
      <c r="F18" s="599">
        <f t="shared" si="1"/>
        <v>0</v>
      </c>
      <c r="G18" s="342">
        <v>0</v>
      </c>
      <c r="H18" s="342">
        <v>0</v>
      </c>
      <c r="I18" s="342">
        <v>0</v>
      </c>
      <c r="J18" s="342">
        <v>0</v>
      </c>
      <c r="K18" s="599">
        <f t="shared" ref="K18:K20" si="5">J18/949*100</f>
        <v>0</v>
      </c>
      <c r="L18" s="597"/>
      <c r="M18" s="597"/>
      <c r="N18" s="458"/>
      <c r="O18" s="598"/>
      <c r="P18" s="458"/>
      <c r="Q18" s="458"/>
    </row>
    <row r="19" spans="1:17" s="298" customFormat="1" ht="21.75" customHeight="1" x14ac:dyDescent="0.2">
      <c r="A19" s="253" t="s">
        <v>87</v>
      </c>
      <c r="B19" s="254">
        <v>0</v>
      </c>
      <c r="C19" s="599">
        <f t="shared" si="0"/>
        <v>0</v>
      </c>
      <c r="D19" s="599"/>
      <c r="E19" s="601">
        <v>0</v>
      </c>
      <c r="F19" s="599">
        <f t="shared" si="1"/>
        <v>0</v>
      </c>
      <c r="G19" s="342">
        <v>0</v>
      </c>
      <c r="H19" s="342">
        <v>0</v>
      </c>
      <c r="I19" s="342">
        <v>0</v>
      </c>
      <c r="J19" s="578">
        <v>0</v>
      </c>
      <c r="K19" s="599">
        <f t="shared" si="5"/>
        <v>0</v>
      </c>
      <c r="L19" s="597"/>
      <c r="M19" s="597"/>
      <c r="N19" s="458"/>
      <c r="O19" s="598"/>
      <c r="P19" s="458"/>
      <c r="Q19" s="458"/>
    </row>
    <row r="20" spans="1:17" s="298" customFormat="1" ht="21.75" customHeight="1" thickBot="1" x14ac:dyDescent="0.25">
      <c r="A20" s="256" t="s">
        <v>88</v>
      </c>
      <c r="B20" s="254">
        <v>0</v>
      </c>
      <c r="C20" s="599">
        <f t="shared" si="0"/>
        <v>0</v>
      </c>
      <c r="D20" s="599"/>
      <c r="E20" s="601">
        <v>0</v>
      </c>
      <c r="F20" s="599">
        <f t="shared" si="1"/>
        <v>0</v>
      </c>
      <c r="G20" s="342">
        <v>0</v>
      </c>
      <c r="H20" s="342">
        <v>0</v>
      </c>
      <c r="I20" s="342">
        <v>0</v>
      </c>
      <c r="J20" s="578">
        <v>0</v>
      </c>
      <c r="K20" s="599">
        <f t="shared" si="5"/>
        <v>0</v>
      </c>
      <c r="L20" s="597"/>
      <c r="M20" s="597"/>
      <c r="N20" s="458"/>
      <c r="O20" s="598"/>
      <c r="P20" s="458"/>
      <c r="Q20" s="458"/>
    </row>
    <row r="21" spans="1:17" s="246" customFormat="1" ht="21.75" customHeight="1" thickTop="1" thickBot="1" x14ac:dyDescent="0.25">
      <c r="A21" s="265" t="s">
        <v>313</v>
      </c>
      <c r="B21" s="267">
        <f>SUM(B5:B20)</f>
        <v>949</v>
      </c>
      <c r="C21" s="273">
        <f t="shared" si="0"/>
        <v>100</v>
      </c>
      <c r="D21" s="273"/>
      <c r="E21" s="267">
        <f>SUM(E5:E20)</f>
        <v>733</v>
      </c>
      <c r="F21" s="273">
        <f t="shared" si="1"/>
        <v>100</v>
      </c>
      <c r="G21" s="267">
        <f>SUM(G5:G20)</f>
        <v>138058</v>
      </c>
      <c r="H21" s="267">
        <f>SUM(H5:H20)</f>
        <v>113509</v>
      </c>
      <c r="I21" s="267">
        <f>SUM(I5:I20)</f>
        <v>78301</v>
      </c>
      <c r="J21" s="267">
        <f>SUM(J5:J20)</f>
        <v>79201</v>
      </c>
      <c r="K21" s="273">
        <f t="shared" si="2"/>
        <v>56.716017905517965</v>
      </c>
      <c r="L21" s="257"/>
      <c r="M21" s="257"/>
      <c r="N21" s="257"/>
      <c r="O21" s="249"/>
      <c r="P21" s="248"/>
      <c r="Q21" s="248"/>
    </row>
    <row r="22" spans="1:17" s="246" customFormat="1" ht="21.75" customHeight="1" thickTop="1" x14ac:dyDescent="0.2">
      <c r="A22" s="817" t="s">
        <v>326</v>
      </c>
      <c r="B22" s="817"/>
      <c r="C22" s="817"/>
      <c r="D22" s="817"/>
      <c r="E22" s="817"/>
      <c r="F22" s="817"/>
      <c r="G22" s="817"/>
      <c r="H22" s="817"/>
      <c r="I22" s="466"/>
      <c r="J22" s="466"/>
      <c r="K22" s="257"/>
      <c r="L22" s="249"/>
      <c r="M22" s="248"/>
      <c r="N22" s="248"/>
    </row>
    <row r="23" spans="1:17" s="246" customFormat="1" ht="21.75" customHeight="1" x14ac:dyDescent="0.2">
      <c r="A23" s="815" t="s">
        <v>327</v>
      </c>
      <c r="B23" s="815"/>
      <c r="C23" s="815"/>
      <c r="D23" s="815"/>
      <c r="E23" s="815"/>
      <c r="F23" s="815"/>
      <c r="G23" s="815"/>
      <c r="H23" s="815"/>
      <c r="I23" s="815"/>
      <c r="J23" s="815"/>
      <c r="K23" s="257"/>
      <c r="L23" s="257"/>
      <c r="M23" s="249"/>
      <c r="N23" s="248"/>
      <c r="O23" s="248"/>
    </row>
    <row r="24" spans="1:17" s="246" customFormat="1" ht="21.75" customHeight="1" thickBot="1" x14ac:dyDescent="0.25">
      <c r="A24" s="816"/>
      <c r="B24" s="816"/>
      <c r="C24" s="816"/>
      <c r="D24" s="816"/>
      <c r="E24" s="816"/>
      <c r="F24" s="816"/>
      <c r="G24" s="816"/>
      <c r="H24" s="816"/>
      <c r="I24" s="816"/>
      <c r="J24" s="816"/>
      <c r="K24" s="257"/>
      <c r="L24" s="257"/>
      <c r="M24" s="249"/>
      <c r="N24" s="248"/>
      <c r="O24" s="248"/>
    </row>
    <row r="25" spans="1:17" ht="21.75" customHeight="1" x14ac:dyDescent="0.25">
      <c r="A25" s="811" t="s">
        <v>255</v>
      </c>
      <c r="B25" s="811"/>
      <c r="C25" s="811"/>
      <c r="D25" s="811"/>
      <c r="E25" s="811"/>
      <c r="F25" s="811"/>
      <c r="G25" s="811"/>
      <c r="H25" s="811"/>
      <c r="I25" s="811"/>
      <c r="J25" s="811"/>
      <c r="K25" s="320">
        <v>25</v>
      </c>
      <c r="L25" s="14"/>
      <c r="M25" s="14"/>
      <c r="N25" s="14"/>
      <c r="O25" s="14"/>
      <c r="P25" s="14"/>
      <c r="Q25" s="14"/>
    </row>
    <row r="26" spans="1:17" x14ac:dyDescent="0.25">
      <c r="L26" s="14"/>
      <c r="M26" s="14"/>
      <c r="N26" s="14"/>
      <c r="O26" s="14"/>
      <c r="P26" s="14"/>
      <c r="Q26" s="14"/>
    </row>
    <row r="27" spans="1:17" x14ac:dyDescent="0.25">
      <c r="L27" s="14"/>
      <c r="M27" s="14"/>
      <c r="N27" s="14"/>
      <c r="O27" s="14"/>
      <c r="P27" s="14"/>
      <c r="Q27" s="14"/>
    </row>
    <row r="28" spans="1:17" x14ac:dyDescent="0.25">
      <c r="L28" s="14"/>
      <c r="M28" s="14"/>
      <c r="N28" s="14"/>
      <c r="O28" s="14"/>
      <c r="P28" s="14"/>
      <c r="Q28" s="14"/>
    </row>
    <row r="29" spans="1:17" x14ac:dyDescent="0.25">
      <c r="L29" s="14"/>
      <c r="M29" s="14"/>
      <c r="N29" s="14"/>
      <c r="O29" s="14"/>
      <c r="P29" s="14"/>
      <c r="Q29" s="14"/>
    </row>
    <row r="30" spans="1:17" x14ac:dyDescent="0.25">
      <c r="L30" s="14"/>
      <c r="M30" s="14"/>
      <c r="N30" s="14"/>
      <c r="O30" s="14"/>
      <c r="P30" s="14"/>
      <c r="Q30" s="14"/>
    </row>
  </sheetData>
  <mergeCells count="12">
    <mergeCell ref="E3:F3"/>
    <mergeCell ref="J3:J4"/>
    <mergeCell ref="A1:K1"/>
    <mergeCell ref="A2:K2"/>
    <mergeCell ref="A3:A4"/>
    <mergeCell ref="B3:C3"/>
    <mergeCell ref="K3:K4"/>
    <mergeCell ref="N7:T7"/>
    <mergeCell ref="A23:J23"/>
    <mergeCell ref="A24:J24"/>
    <mergeCell ref="A25:J25"/>
    <mergeCell ref="A22:H2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26"/>
  <sheetViews>
    <sheetView rightToLeft="1" view="pageBreakPreview" zoomScale="90" zoomScaleSheetLayoutView="90" workbookViewId="0">
      <selection activeCell="H26" sqref="H26"/>
    </sheetView>
  </sheetViews>
  <sheetFormatPr defaultColWidth="10.42578125" defaultRowHeight="15" x14ac:dyDescent="0.25"/>
  <cols>
    <col min="1" max="1" width="11.5703125" customWidth="1"/>
    <col min="2" max="3" width="12.28515625" customWidth="1"/>
    <col min="4" max="10" width="15.28515625" customWidth="1"/>
  </cols>
  <sheetData>
    <row r="1" spans="1:19" ht="23.25" customHeight="1" x14ac:dyDescent="0.25">
      <c r="A1" s="819" t="s">
        <v>438</v>
      </c>
      <c r="B1" s="819"/>
      <c r="C1" s="819"/>
      <c r="D1" s="819"/>
      <c r="E1" s="819"/>
      <c r="F1" s="819"/>
      <c r="G1" s="819"/>
      <c r="H1" s="819"/>
      <c r="I1" s="819"/>
      <c r="J1" s="819"/>
    </row>
    <row r="2" spans="1:19" ht="23.25" customHeight="1" thickBot="1" x14ac:dyDescent="0.3">
      <c r="A2" s="823" t="s">
        <v>408</v>
      </c>
      <c r="B2" s="823"/>
      <c r="C2" s="823"/>
      <c r="D2" s="823"/>
      <c r="E2" s="823"/>
      <c r="F2" s="823"/>
      <c r="G2" s="823"/>
      <c r="H2" s="823"/>
      <c r="I2" s="823"/>
      <c r="J2" s="823"/>
    </row>
    <row r="3" spans="1:19" ht="23.25" customHeight="1" thickTop="1" x14ac:dyDescent="0.25">
      <c r="A3" s="788" t="s">
        <v>75</v>
      </c>
      <c r="B3" s="793" t="s">
        <v>263</v>
      </c>
      <c r="C3" s="793"/>
      <c r="D3" s="788" t="s">
        <v>257</v>
      </c>
      <c r="E3" s="788" t="s">
        <v>258</v>
      </c>
      <c r="F3" s="788" t="s">
        <v>260</v>
      </c>
      <c r="G3" s="793" t="s">
        <v>357</v>
      </c>
      <c r="H3" s="793"/>
      <c r="I3" s="793"/>
      <c r="J3" s="788" t="s">
        <v>259</v>
      </c>
    </row>
    <row r="4" spans="1:19" ht="23.25" customHeight="1" x14ac:dyDescent="0.25">
      <c r="A4" s="795"/>
      <c r="B4" s="180" t="s">
        <v>289</v>
      </c>
      <c r="C4" s="180" t="s">
        <v>254</v>
      </c>
      <c r="D4" s="795"/>
      <c r="E4" s="795"/>
      <c r="F4" s="795"/>
      <c r="G4" s="264" t="s">
        <v>285</v>
      </c>
      <c r="H4" s="264" t="s">
        <v>286</v>
      </c>
      <c r="I4" s="264" t="s">
        <v>26</v>
      </c>
      <c r="J4" s="789"/>
    </row>
    <row r="5" spans="1:19" s="19" customFormat="1" ht="23.25" customHeight="1" x14ac:dyDescent="0.25">
      <c r="A5" s="628" t="s">
        <v>76</v>
      </c>
      <c r="B5" s="632">
        <v>0</v>
      </c>
      <c r="C5" s="599">
        <f>B5/434*100</f>
        <v>0</v>
      </c>
      <c r="D5" s="631">
        <v>0</v>
      </c>
      <c r="E5" s="631">
        <v>0</v>
      </c>
      <c r="F5" s="631">
        <v>0</v>
      </c>
      <c r="G5" s="456">
        <v>0</v>
      </c>
      <c r="H5" s="456">
        <v>0</v>
      </c>
      <c r="I5" s="456">
        <f t="shared" ref="I5:I20" si="0">SUM(G5:H5)</f>
        <v>0</v>
      </c>
      <c r="J5" s="715">
        <v>0</v>
      </c>
    </row>
    <row r="6" spans="1:19" s="609" customFormat="1" ht="23.25" customHeight="1" x14ac:dyDescent="0.2">
      <c r="A6" s="628" t="s">
        <v>77</v>
      </c>
      <c r="B6" s="632">
        <v>4</v>
      </c>
      <c r="C6" s="599">
        <f t="shared" ref="C6:C21" si="1">B6/434*100</f>
        <v>0.92165898617511521</v>
      </c>
      <c r="D6" s="631">
        <v>175</v>
      </c>
      <c r="E6" s="631">
        <v>0</v>
      </c>
      <c r="F6" s="631">
        <v>0</v>
      </c>
      <c r="G6" s="456">
        <v>0</v>
      </c>
      <c r="H6" s="456">
        <v>0</v>
      </c>
      <c r="I6" s="456">
        <f t="shared" si="0"/>
        <v>0</v>
      </c>
      <c r="J6" s="603">
        <f t="shared" ref="J6:J20" si="2">F6/D6*100</f>
        <v>0</v>
      </c>
      <c r="K6" s="604"/>
      <c r="M6" s="634"/>
    </row>
    <row r="7" spans="1:19" s="609" customFormat="1" ht="23.25" customHeight="1" x14ac:dyDescent="0.2">
      <c r="A7" s="253" t="s">
        <v>78</v>
      </c>
      <c r="B7" s="254">
        <v>38</v>
      </c>
      <c r="C7" s="599">
        <f t="shared" si="1"/>
        <v>8.7557603686635943</v>
      </c>
      <c r="D7" s="342">
        <v>109</v>
      </c>
      <c r="E7" s="342">
        <v>25</v>
      </c>
      <c r="F7" s="342">
        <v>25</v>
      </c>
      <c r="G7" s="255">
        <v>37</v>
      </c>
      <c r="H7" s="255">
        <v>0</v>
      </c>
      <c r="I7" s="456">
        <f t="shared" si="0"/>
        <v>37</v>
      </c>
      <c r="J7" s="603">
        <f t="shared" si="2"/>
        <v>22.935779816513762</v>
      </c>
      <c r="K7" s="604"/>
      <c r="L7" s="622"/>
      <c r="M7" s="622"/>
      <c r="N7" s="622"/>
      <c r="O7" s="622"/>
      <c r="P7" s="623"/>
      <c r="Q7" s="624"/>
      <c r="R7" s="624"/>
      <c r="S7" s="624"/>
    </row>
    <row r="8" spans="1:19" s="609" customFormat="1" ht="23.25" customHeight="1" x14ac:dyDescent="0.2">
      <c r="A8" s="253" t="s">
        <v>336</v>
      </c>
      <c r="B8" s="254">
        <v>39</v>
      </c>
      <c r="C8" s="599">
        <f t="shared" si="1"/>
        <v>8.9861751152073737</v>
      </c>
      <c r="D8" s="342">
        <v>630</v>
      </c>
      <c r="E8" s="342">
        <v>0</v>
      </c>
      <c r="F8" s="342">
        <v>0</v>
      </c>
      <c r="G8" s="255">
        <v>0</v>
      </c>
      <c r="H8" s="255">
        <v>0</v>
      </c>
      <c r="I8" s="456">
        <f t="shared" si="0"/>
        <v>0</v>
      </c>
      <c r="J8" s="603">
        <f t="shared" si="2"/>
        <v>0</v>
      </c>
      <c r="K8" s="604"/>
      <c r="L8" s="622"/>
      <c r="M8" s="622"/>
      <c r="N8" s="622"/>
      <c r="O8" s="622"/>
      <c r="P8" s="623"/>
      <c r="Q8" s="624"/>
      <c r="R8" s="624"/>
      <c r="S8" s="624"/>
    </row>
    <row r="9" spans="1:19" s="609" customFormat="1" ht="23.25" customHeight="1" x14ac:dyDescent="0.2">
      <c r="A9" s="277" t="s">
        <v>89</v>
      </c>
      <c r="B9" s="254">
        <v>0</v>
      </c>
      <c r="C9" s="599">
        <f t="shared" si="1"/>
        <v>0</v>
      </c>
      <c r="D9" s="342">
        <v>0</v>
      </c>
      <c r="E9" s="342">
        <v>0</v>
      </c>
      <c r="F9" s="342">
        <v>0</v>
      </c>
      <c r="G9" s="255">
        <v>0</v>
      </c>
      <c r="H9" s="255">
        <v>0</v>
      </c>
      <c r="I9" s="456">
        <f t="shared" si="0"/>
        <v>0</v>
      </c>
      <c r="J9" s="603">
        <v>0</v>
      </c>
      <c r="K9" s="604"/>
      <c r="L9" s="605"/>
      <c r="M9" s="606"/>
      <c r="N9" s="607"/>
      <c r="O9" s="607"/>
      <c r="P9" s="608"/>
      <c r="Q9" s="608"/>
      <c r="R9" s="608"/>
    </row>
    <row r="10" spans="1:19" s="609" customFormat="1" ht="23.25" customHeight="1" x14ac:dyDescent="0.2">
      <c r="A10" s="277" t="s">
        <v>80</v>
      </c>
      <c r="B10" s="254">
        <v>1</v>
      </c>
      <c r="C10" s="599">
        <f t="shared" si="1"/>
        <v>0.2304147465437788</v>
      </c>
      <c r="D10" s="342">
        <v>31</v>
      </c>
      <c r="E10" s="342">
        <v>30</v>
      </c>
      <c r="F10" s="342">
        <v>30</v>
      </c>
      <c r="G10" s="255">
        <v>35</v>
      </c>
      <c r="H10" s="255">
        <v>0</v>
      </c>
      <c r="I10" s="456">
        <f t="shared" si="0"/>
        <v>35</v>
      </c>
      <c r="J10" s="603">
        <f t="shared" si="2"/>
        <v>96.774193548387103</v>
      </c>
      <c r="K10" s="604"/>
      <c r="L10" s="605"/>
      <c r="M10" s="606"/>
      <c r="N10" s="607"/>
      <c r="O10" s="607"/>
      <c r="P10" s="608"/>
      <c r="Q10" s="608"/>
      <c r="R10" s="608"/>
    </row>
    <row r="11" spans="1:19" s="609" customFormat="1" ht="23.25" customHeight="1" x14ac:dyDescent="0.2">
      <c r="A11" s="277" t="s">
        <v>82</v>
      </c>
      <c r="B11" s="254">
        <v>47</v>
      </c>
      <c r="C11" s="599">
        <f t="shared" si="1"/>
        <v>10.829493087557603</v>
      </c>
      <c r="D11" s="342">
        <v>1668</v>
      </c>
      <c r="E11" s="342">
        <v>1585</v>
      </c>
      <c r="F11" s="342">
        <v>1418</v>
      </c>
      <c r="G11" s="255">
        <v>1835</v>
      </c>
      <c r="H11" s="255">
        <v>0</v>
      </c>
      <c r="I11" s="456">
        <f t="shared" si="0"/>
        <v>1835</v>
      </c>
      <c r="J11" s="603">
        <f t="shared" si="2"/>
        <v>85.011990407673864</v>
      </c>
      <c r="K11" s="604"/>
      <c r="L11" s="605"/>
      <c r="M11" s="606"/>
      <c r="N11" s="605"/>
      <c r="O11" s="605"/>
    </row>
    <row r="12" spans="1:19" s="609" customFormat="1" ht="23.25" customHeight="1" x14ac:dyDescent="0.2">
      <c r="A12" s="277" t="s">
        <v>74</v>
      </c>
      <c r="B12" s="254">
        <v>12</v>
      </c>
      <c r="C12" s="599">
        <f t="shared" si="1"/>
        <v>2.7649769585253456</v>
      </c>
      <c r="D12" s="342">
        <v>528</v>
      </c>
      <c r="E12" s="342">
        <v>0</v>
      </c>
      <c r="F12" s="342">
        <v>0</v>
      </c>
      <c r="G12" s="255">
        <v>0</v>
      </c>
      <c r="H12" s="251">
        <v>0</v>
      </c>
      <c r="I12" s="456">
        <f t="shared" si="0"/>
        <v>0</v>
      </c>
      <c r="J12" s="603">
        <f t="shared" si="2"/>
        <v>0</v>
      </c>
      <c r="K12" s="824"/>
      <c r="L12" s="824"/>
      <c r="M12" s="824"/>
      <c r="N12" s="824"/>
      <c r="O12" s="824"/>
      <c r="P12" s="824"/>
      <c r="Q12" s="824"/>
      <c r="R12" s="824"/>
    </row>
    <row r="13" spans="1:19" s="609" customFormat="1" ht="23.25" customHeight="1" x14ac:dyDescent="0.2">
      <c r="A13" s="277" t="s">
        <v>81</v>
      </c>
      <c r="B13" s="254">
        <v>29</v>
      </c>
      <c r="C13" s="599">
        <f t="shared" si="1"/>
        <v>6.6820276497695854</v>
      </c>
      <c r="D13" s="342">
        <v>1700</v>
      </c>
      <c r="E13" s="342">
        <v>550</v>
      </c>
      <c r="F13" s="342">
        <v>425</v>
      </c>
      <c r="G13" s="255">
        <v>223</v>
      </c>
      <c r="H13" s="255">
        <v>223</v>
      </c>
      <c r="I13" s="456">
        <f t="shared" si="0"/>
        <v>446</v>
      </c>
      <c r="J13" s="603">
        <f t="shared" si="2"/>
        <v>25</v>
      </c>
      <c r="K13" s="604"/>
      <c r="L13" s="605"/>
      <c r="M13" s="606"/>
      <c r="N13" s="605"/>
      <c r="O13" s="605"/>
    </row>
    <row r="14" spans="1:19" s="609" customFormat="1" ht="23.25" customHeight="1" x14ac:dyDescent="0.2">
      <c r="A14" s="277" t="s">
        <v>79</v>
      </c>
      <c r="B14" s="642">
        <v>54</v>
      </c>
      <c r="C14" s="599">
        <f t="shared" si="1"/>
        <v>12.442396313364055</v>
      </c>
      <c r="D14" s="342">
        <v>1288</v>
      </c>
      <c r="E14" s="342">
        <v>36</v>
      </c>
      <c r="F14" s="342">
        <v>24</v>
      </c>
      <c r="G14" s="255">
        <v>25</v>
      </c>
      <c r="H14" s="255">
        <v>0</v>
      </c>
      <c r="I14" s="456">
        <f t="shared" si="0"/>
        <v>25</v>
      </c>
      <c r="J14" s="603">
        <f t="shared" si="2"/>
        <v>1.8633540372670807</v>
      </c>
      <c r="K14" s="604"/>
      <c r="L14" s="605"/>
      <c r="M14" s="606"/>
      <c r="N14" s="605"/>
      <c r="O14" s="605"/>
    </row>
    <row r="15" spans="1:19" s="617" customFormat="1" ht="23.25" customHeight="1" x14ac:dyDescent="0.2">
      <c r="A15" s="277" t="s">
        <v>83</v>
      </c>
      <c r="B15" s="254">
        <v>23</v>
      </c>
      <c r="C15" s="599">
        <f t="shared" si="1"/>
        <v>5.2995391705069128</v>
      </c>
      <c r="D15" s="342">
        <v>285</v>
      </c>
      <c r="E15" s="342">
        <v>120</v>
      </c>
      <c r="F15" s="342">
        <v>120</v>
      </c>
      <c r="G15" s="255">
        <v>0</v>
      </c>
      <c r="H15" s="255">
        <v>240</v>
      </c>
      <c r="I15" s="456">
        <f t="shared" si="0"/>
        <v>240</v>
      </c>
      <c r="J15" s="603">
        <f t="shared" si="2"/>
        <v>42.105263157894733</v>
      </c>
      <c r="K15" s="604"/>
      <c r="L15" s="605"/>
      <c r="M15" s="606"/>
      <c r="N15" s="605"/>
      <c r="O15" s="605"/>
    </row>
    <row r="16" spans="1:19" s="617" customFormat="1" ht="23.25" customHeight="1" x14ac:dyDescent="0.2">
      <c r="A16" s="277" t="s">
        <v>84</v>
      </c>
      <c r="B16" s="254">
        <v>57</v>
      </c>
      <c r="C16" s="599">
        <f t="shared" si="1"/>
        <v>13.13364055299539</v>
      </c>
      <c r="D16" s="342">
        <v>3100</v>
      </c>
      <c r="E16" s="342">
        <v>450</v>
      </c>
      <c r="F16" s="342">
        <v>410</v>
      </c>
      <c r="G16" s="255">
        <v>250</v>
      </c>
      <c r="H16" s="255">
        <v>370</v>
      </c>
      <c r="I16" s="456">
        <f t="shared" si="0"/>
        <v>620</v>
      </c>
      <c r="J16" s="603">
        <f t="shared" si="2"/>
        <v>13.225806451612904</v>
      </c>
      <c r="K16" s="604"/>
      <c r="L16" s="605"/>
      <c r="M16" s="606"/>
      <c r="N16" s="605"/>
      <c r="O16" s="605"/>
    </row>
    <row r="17" spans="1:15" s="617" customFormat="1" ht="23.25" customHeight="1" x14ac:dyDescent="0.2">
      <c r="A17" s="277" t="s">
        <v>85</v>
      </c>
      <c r="B17" s="254">
        <v>28</v>
      </c>
      <c r="C17" s="599">
        <f t="shared" si="1"/>
        <v>6.4516129032258061</v>
      </c>
      <c r="D17" s="342">
        <v>560</v>
      </c>
      <c r="E17" s="342">
        <v>0</v>
      </c>
      <c r="F17" s="342">
        <v>0</v>
      </c>
      <c r="G17" s="255">
        <v>0</v>
      </c>
      <c r="H17" s="255">
        <v>0</v>
      </c>
      <c r="I17" s="456">
        <f t="shared" si="0"/>
        <v>0</v>
      </c>
      <c r="J17" s="603">
        <f t="shared" si="2"/>
        <v>0</v>
      </c>
      <c r="K17" s="604"/>
      <c r="L17" s="605"/>
      <c r="M17" s="606"/>
      <c r="N17" s="605"/>
      <c r="O17" s="605"/>
    </row>
    <row r="18" spans="1:15" s="617" customFormat="1" ht="23.25" customHeight="1" x14ac:dyDescent="0.2">
      <c r="A18" s="277" t="s">
        <v>86</v>
      </c>
      <c r="B18" s="254">
        <v>55</v>
      </c>
      <c r="C18" s="599">
        <f t="shared" si="1"/>
        <v>12.672811059907835</v>
      </c>
      <c r="D18" s="342">
        <v>1573</v>
      </c>
      <c r="E18" s="342">
        <v>1210</v>
      </c>
      <c r="F18" s="342">
        <v>124</v>
      </c>
      <c r="G18" s="255">
        <v>124</v>
      </c>
      <c r="H18" s="255">
        <v>0</v>
      </c>
      <c r="I18" s="456">
        <f t="shared" si="0"/>
        <v>124</v>
      </c>
      <c r="J18" s="603">
        <f t="shared" si="2"/>
        <v>7.8830260648442465</v>
      </c>
      <c r="K18" s="604"/>
      <c r="L18" s="605"/>
      <c r="M18" s="606"/>
      <c r="N18" s="605"/>
      <c r="O18" s="605"/>
    </row>
    <row r="19" spans="1:15" s="617" customFormat="1" ht="23.25" customHeight="1" x14ac:dyDescent="0.2">
      <c r="A19" s="277" t="s">
        <v>87</v>
      </c>
      <c r="B19" s="254">
        <v>22</v>
      </c>
      <c r="C19" s="599">
        <f t="shared" si="1"/>
        <v>5.0691244239631335</v>
      </c>
      <c r="D19" s="342">
        <v>1260</v>
      </c>
      <c r="E19" s="342">
        <v>0</v>
      </c>
      <c r="F19" s="342">
        <v>0</v>
      </c>
      <c r="G19" s="255">
        <v>0</v>
      </c>
      <c r="H19" s="255">
        <v>0</v>
      </c>
      <c r="I19" s="456">
        <f t="shared" si="0"/>
        <v>0</v>
      </c>
      <c r="J19" s="603">
        <f t="shared" si="2"/>
        <v>0</v>
      </c>
      <c r="K19" s="604"/>
      <c r="L19" s="605"/>
      <c r="M19" s="606"/>
      <c r="N19" s="605"/>
      <c r="O19" s="605"/>
    </row>
    <row r="20" spans="1:15" s="617" customFormat="1" ht="23.25" customHeight="1" thickBot="1" x14ac:dyDescent="0.25">
      <c r="A20" s="649" t="s">
        <v>88</v>
      </c>
      <c r="B20" s="254">
        <v>25</v>
      </c>
      <c r="C20" s="599">
        <f t="shared" si="1"/>
        <v>5.7603686635944698</v>
      </c>
      <c r="D20" s="342">
        <v>1608</v>
      </c>
      <c r="E20" s="342">
        <v>0</v>
      </c>
      <c r="F20" s="342">
        <v>0</v>
      </c>
      <c r="G20" s="255">
        <v>0</v>
      </c>
      <c r="H20" s="251">
        <v>0</v>
      </c>
      <c r="I20" s="456">
        <f t="shared" si="0"/>
        <v>0</v>
      </c>
      <c r="J20" s="650">
        <f t="shared" si="2"/>
        <v>0</v>
      </c>
      <c r="K20" s="604"/>
      <c r="L20" s="605"/>
      <c r="M20" s="606"/>
      <c r="N20" s="605"/>
      <c r="O20" s="605"/>
    </row>
    <row r="21" spans="1:15" s="274" customFormat="1" ht="23.25" customHeight="1" thickTop="1" thickBot="1" x14ac:dyDescent="0.25">
      <c r="A21" s="265" t="s">
        <v>313</v>
      </c>
      <c r="B21" s="266">
        <f>SUM(B5:B20)</f>
        <v>434</v>
      </c>
      <c r="C21" s="273">
        <f t="shared" si="1"/>
        <v>100</v>
      </c>
      <c r="D21" s="268">
        <f t="shared" ref="D21:I21" si="3">SUM(D5:D20)</f>
        <v>14515</v>
      </c>
      <c r="E21" s="268">
        <f t="shared" si="3"/>
        <v>4006</v>
      </c>
      <c r="F21" s="268">
        <f t="shared" si="3"/>
        <v>2576</v>
      </c>
      <c r="G21" s="268">
        <f t="shared" si="3"/>
        <v>2529</v>
      </c>
      <c r="H21" s="268">
        <f t="shared" si="3"/>
        <v>833</v>
      </c>
      <c r="I21" s="268">
        <f t="shared" si="3"/>
        <v>3362</v>
      </c>
      <c r="J21" s="273">
        <f>F21/D21*100</f>
        <v>17.747158112297623</v>
      </c>
      <c r="K21" s="278"/>
      <c r="L21" s="278"/>
      <c r="M21" s="276"/>
      <c r="N21" s="275"/>
      <c r="O21" s="275"/>
    </row>
    <row r="22" spans="1:15" s="246" customFormat="1" ht="19.5" customHeight="1" thickTop="1" x14ac:dyDescent="0.25">
      <c r="A22" s="817" t="s">
        <v>326</v>
      </c>
      <c r="B22" s="817"/>
      <c r="C22" s="817"/>
      <c r="D22" s="817"/>
      <c r="E22" s="817"/>
      <c r="F22" s="817"/>
      <c r="G22" s="817"/>
      <c r="H22"/>
      <c r="I22"/>
      <c r="J22"/>
      <c r="K22" s="257"/>
      <c r="L22" s="249"/>
      <c r="M22" s="248"/>
      <c r="N22" s="248"/>
    </row>
    <row r="23" spans="1:15" s="246" customFormat="1" ht="19.5" customHeight="1" x14ac:dyDescent="0.2">
      <c r="A23" s="815" t="s">
        <v>327</v>
      </c>
      <c r="B23" s="815"/>
      <c r="C23" s="815"/>
      <c r="D23" s="815"/>
      <c r="E23" s="815"/>
      <c r="F23" s="815"/>
      <c r="G23" s="815"/>
      <c r="H23" s="260"/>
      <c r="I23" s="260"/>
      <c r="J23" s="262"/>
      <c r="K23" s="257"/>
      <c r="L23" s="257"/>
      <c r="M23" s="249"/>
      <c r="N23" s="248"/>
      <c r="O23" s="248"/>
    </row>
    <row r="24" spans="1:15" s="246" customFormat="1" ht="19.5" customHeight="1" thickBot="1" x14ac:dyDescent="0.25">
      <c r="A24" s="816"/>
      <c r="B24" s="816"/>
      <c r="C24" s="816"/>
      <c r="D24" s="816"/>
      <c r="E24" s="816"/>
      <c r="F24" s="816"/>
      <c r="G24" s="816"/>
      <c r="H24" s="260"/>
      <c r="I24" s="260"/>
      <c r="J24" s="262"/>
      <c r="K24" s="257"/>
      <c r="L24" s="257"/>
      <c r="M24" s="249"/>
      <c r="N24" s="248"/>
      <c r="O24" s="248"/>
    </row>
    <row r="25" spans="1:15" ht="19.5" customHeight="1" x14ac:dyDescent="0.25">
      <c r="A25" s="811" t="s">
        <v>255</v>
      </c>
      <c r="B25" s="811"/>
      <c r="C25" s="811"/>
      <c r="D25" s="811"/>
      <c r="E25" s="811"/>
      <c r="F25" s="811"/>
      <c r="G25" s="263"/>
      <c r="H25" s="263"/>
      <c r="I25" s="263"/>
      <c r="J25" s="320">
        <v>26</v>
      </c>
      <c r="K25" s="14"/>
      <c r="L25" s="14"/>
      <c r="M25" s="14"/>
      <c r="N25" s="14"/>
      <c r="O25" s="14"/>
    </row>
    <row r="26" spans="1:15" ht="18.75" customHeight="1" x14ac:dyDescent="0.25"/>
  </sheetData>
  <mergeCells count="14">
    <mergeCell ref="A23:G23"/>
    <mergeCell ref="A24:G24"/>
    <mergeCell ref="A25:F25"/>
    <mergeCell ref="J3:J4"/>
    <mergeCell ref="K12:R12"/>
    <mergeCell ref="A22:G22"/>
    <mergeCell ref="A1:J1"/>
    <mergeCell ref="A2:J2"/>
    <mergeCell ref="A3:A4"/>
    <mergeCell ref="B3:C3"/>
    <mergeCell ref="D3:D4"/>
    <mergeCell ref="E3:E4"/>
    <mergeCell ref="F3:F4"/>
    <mergeCell ref="G3:I3"/>
  </mergeCells>
  <printOptions horizontalCentered="1"/>
  <pageMargins left="0.51181102362204722" right="0.51181102362204722" top="0.51181102362204722" bottom="0.51181102362204722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E25"/>
  <sheetViews>
    <sheetView rightToLeft="1" view="pageBreakPreview" topLeftCell="A4" zoomScale="90" zoomScaleSheetLayoutView="90" workbookViewId="0">
      <selection activeCell="Y28" sqref="Y28"/>
    </sheetView>
  </sheetViews>
  <sheetFormatPr defaultRowHeight="15" x14ac:dyDescent="0.25"/>
  <cols>
    <col min="1" max="1" width="8.42578125" customWidth="1"/>
    <col min="2" max="2" width="5.28515625" customWidth="1"/>
    <col min="3" max="4" width="5.5703125" customWidth="1"/>
    <col min="5" max="5" width="6" customWidth="1"/>
    <col min="6" max="6" width="1" customWidth="1"/>
    <col min="7" max="7" width="5.28515625" customWidth="1"/>
    <col min="8" max="9" width="5.5703125" customWidth="1"/>
    <col min="10" max="10" width="5.85546875" customWidth="1"/>
    <col min="11" max="11" width="1" customWidth="1"/>
    <col min="12" max="12" width="5.28515625" customWidth="1"/>
    <col min="13" max="14" width="5.5703125" customWidth="1"/>
    <col min="15" max="15" width="5.85546875" customWidth="1"/>
    <col min="16" max="16" width="1" customWidth="1"/>
    <col min="17" max="17" width="5.28515625" customWidth="1"/>
    <col min="18" max="19" width="5.5703125" customWidth="1"/>
    <col min="20" max="20" width="5.85546875" customWidth="1"/>
    <col min="21" max="21" width="1" customWidth="1"/>
    <col min="22" max="22" width="5.28515625" customWidth="1"/>
    <col min="23" max="24" width="5.5703125" customWidth="1"/>
    <col min="25" max="25" width="6.140625" customWidth="1"/>
    <col min="26" max="26" width="1" customWidth="1"/>
    <col min="27" max="27" width="5.28515625" customWidth="1"/>
    <col min="28" max="29" width="5.5703125" customWidth="1"/>
    <col min="30" max="30" width="6.42578125" customWidth="1"/>
  </cols>
  <sheetData>
    <row r="1" spans="1:31" ht="26.25" customHeight="1" x14ac:dyDescent="0.25">
      <c r="A1" s="829" t="s">
        <v>439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  <c r="W1" s="829"/>
      <c r="X1" s="829"/>
      <c r="Y1" s="829"/>
      <c r="Z1" s="829"/>
      <c r="AA1" s="829"/>
      <c r="AB1" s="829"/>
      <c r="AC1" s="829"/>
      <c r="AD1" s="829"/>
    </row>
    <row r="2" spans="1:31" ht="26.25" customHeight="1" thickBot="1" x14ac:dyDescent="0.3">
      <c r="A2" s="280" t="s">
        <v>498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</row>
    <row r="3" spans="1:31" ht="26.25" customHeight="1" thickTop="1" x14ac:dyDescent="0.25">
      <c r="A3" s="826" t="s">
        <v>75</v>
      </c>
      <c r="B3" s="828" t="s">
        <v>265</v>
      </c>
      <c r="C3" s="828"/>
      <c r="D3" s="828"/>
      <c r="E3" s="828"/>
      <c r="F3" s="317"/>
      <c r="G3" s="828" t="s">
        <v>256</v>
      </c>
      <c r="H3" s="828"/>
      <c r="I3" s="828"/>
      <c r="J3" s="828"/>
      <c r="K3" s="317"/>
      <c r="L3" s="828" t="s">
        <v>261</v>
      </c>
      <c r="M3" s="828"/>
      <c r="N3" s="828"/>
      <c r="O3" s="828"/>
      <c r="P3" s="317"/>
      <c r="Q3" s="828" t="s">
        <v>350</v>
      </c>
      <c r="R3" s="828"/>
      <c r="S3" s="828"/>
      <c r="T3" s="828"/>
      <c r="U3" s="427"/>
      <c r="V3" s="828" t="s">
        <v>263</v>
      </c>
      <c r="W3" s="828"/>
      <c r="X3" s="828"/>
      <c r="Y3" s="828"/>
      <c r="Z3" s="334"/>
      <c r="AA3" s="828" t="s">
        <v>319</v>
      </c>
      <c r="AB3" s="828"/>
      <c r="AC3" s="828"/>
      <c r="AD3" s="828"/>
    </row>
    <row r="4" spans="1:31" ht="26.25" customHeight="1" x14ac:dyDescent="0.25">
      <c r="A4" s="827"/>
      <c r="B4" s="187" t="s">
        <v>290</v>
      </c>
      <c r="C4" s="187" t="s">
        <v>292</v>
      </c>
      <c r="D4" s="187" t="s">
        <v>291</v>
      </c>
      <c r="E4" s="187" t="s">
        <v>26</v>
      </c>
      <c r="F4" s="285"/>
      <c r="G4" s="187" t="s">
        <v>290</v>
      </c>
      <c r="H4" s="187" t="s">
        <v>292</v>
      </c>
      <c r="I4" s="187" t="s">
        <v>291</v>
      </c>
      <c r="J4" s="187" t="s">
        <v>26</v>
      </c>
      <c r="K4" s="285"/>
      <c r="L4" s="187" t="s">
        <v>290</v>
      </c>
      <c r="M4" s="187" t="s">
        <v>293</v>
      </c>
      <c r="N4" s="187" t="s">
        <v>291</v>
      </c>
      <c r="O4" s="187" t="s">
        <v>26</v>
      </c>
      <c r="P4" s="285"/>
      <c r="Q4" s="187" t="s">
        <v>290</v>
      </c>
      <c r="R4" s="187" t="s">
        <v>293</v>
      </c>
      <c r="S4" s="187" t="s">
        <v>291</v>
      </c>
      <c r="T4" s="187" t="s">
        <v>26</v>
      </c>
      <c r="U4" s="285"/>
      <c r="V4" s="187" t="s">
        <v>290</v>
      </c>
      <c r="W4" s="187" t="s">
        <v>292</v>
      </c>
      <c r="X4" s="187" t="s">
        <v>291</v>
      </c>
      <c r="Y4" s="187" t="s">
        <v>26</v>
      </c>
      <c r="Z4" s="335"/>
      <c r="AA4" s="187" t="s">
        <v>290</v>
      </c>
      <c r="AB4" s="187" t="s">
        <v>292</v>
      </c>
      <c r="AC4" s="187" t="s">
        <v>291</v>
      </c>
      <c r="AD4" s="187" t="s">
        <v>26</v>
      </c>
    </row>
    <row r="5" spans="1:31" s="19" customFormat="1" ht="26.25" customHeight="1" x14ac:dyDescent="0.25">
      <c r="A5" s="628" t="s">
        <v>76</v>
      </c>
      <c r="B5" s="635">
        <v>32</v>
      </c>
      <c r="C5" s="635">
        <v>0</v>
      </c>
      <c r="D5" s="635">
        <v>1</v>
      </c>
      <c r="E5" s="255">
        <f t="shared" ref="E5:E20" si="0">SUM(B5:D5)</f>
        <v>33</v>
      </c>
      <c r="F5" s="312"/>
      <c r="G5" s="635">
        <v>84</v>
      </c>
      <c r="H5" s="635">
        <v>0</v>
      </c>
      <c r="I5" s="635">
        <v>11</v>
      </c>
      <c r="J5" s="255">
        <f t="shared" ref="J5:J20" si="1">SUM(G5:I5)</f>
        <v>95</v>
      </c>
      <c r="K5" s="312"/>
      <c r="L5" s="635">
        <v>0</v>
      </c>
      <c r="M5" s="635">
        <v>0</v>
      </c>
      <c r="N5" s="635">
        <v>0</v>
      </c>
      <c r="O5" s="255">
        <f t="shared" ref="O5:O20" si="2">SUM(L5:N5)</f>
        <v>0</v>
      </c>
      <c r="P5" s="312"/>
      <c r="Q5" s="635">
        <v>359</v>
      </c>
      <c r="R5" s="635">
        <v>0</v>
      </c>
      <c r="S5" s="635">
        <v>122</v>
      </c>
      <c r="T5" s="255">
        <f t="shared" ref="T5:T20" si="3">SUM(Q5:S5)</f>
        <v>481</v>
      </c>
      <c r="U5" s="312"/>
      <c r="V5" s="635">
        <v>0</v>
      </c>
      <c r="W5" s="635">
        <v>0</v>
      </c>
      <c r="X5" s="635">
        <v>0</v>
      </c>
      <c r="Y5" s="716">
        <f t="shared" ref="Y5:Y20" si="4">SUM(V5:X5)</f>
        <v>0</v>
      </c>
      <c r="Z5" s="717"/>
      <c r="AA5" s="635">
        <f>B5+G5+L5+Q5+V5</f>
        <v>475</v>
      </c>
      <c r="AB5" s="635">
        <f>C5+H5+M5+R5+W5</f>
        <v>0</v>
      </c>
      <c r="AC5" s="635">
        <f>D5+I5+N5+S5+X5</f>
        <v>134</v>
      </c>
      <c r="AD5" s="716">
        <f t="shared" ref="AD5:AD20" si="5">SUM(AA5:AC5)</f>
        <v>609</v>
      </c>
    </row>
    <row r="6" spans="1:31" s="19" customFormat="1" ht="22.5" customHeight="1" x14ac:dyDescent="0.25">
      <c r="A6" s="628" t="s">
        <v>77</v>
      </c>
      <c r="B6" s="635">
        <v>10</v>
      </c>
      <c r="C6" s="635">
        <v>0</v>
      </c>
      <c r="D6" s="635">
        <v>0</v>
      </c>
      <c r="E6" s="255">
        <f t="shared" si="0"/>
        <v>10</v>
      </c>
      <c r="F6" s="312"/>
      <c r="G6" s="635">
        <v>74</v>
      </c>
      <c r="H6" s="635">
        <v>0</v>
      </c>
      <c r="I6" s="635">
        <v>18</v>
      </c>
      <c r="J6" s="255">
        <f t="shared" si="1"/>
        <v>92</v>
      </c>
      <c r="K6" s="312"/>
      <c r="L6" s="635">
        <v>5</v>
      </c>
      <c r="M6" s="635">
        <v>0</v>
      </c>
      <c r="N6" s="635">
        <v>0</v>
      </c>
      <c r="O6" s="255">
        <f t="shared" si="2"/>
        <v>5</v>
      </c>
      <c r="P6" s="312"/>
      <c r="Q6" s="635">
        <v>161</v>
      </c>
      <c r="R6" s="635">
        <v>0</v>
      </c>
      <c r="S6" s="635">
        <v>17</v>
      </c>
      <c r="T6" s="255">
        <f t="shared" si="3"/>
        <v>178</v>
      </c>
      <c r="U6" s="312"/>
      <c r="V6" s="635">
        <v>0</v>
      </c>
      <c r="W6" s="635">
        <v>0</v>
      </c>
      <c r="X6" s="635">
        <v>4</v>
      </c>
      <c r="Y6" s="255">
        <f t="shared" si="4"/>
        <v>4</v>
      </c>
      <c r="Z6" s="454"/>
      <c r="AA6" s="635">
        <f t="shared" ref="AA6:AA20" si="6">B6+G6+L6+Q6+V6</f>
        <v>250</v>
      </c>
      <c r="AB6" s="635">
        <f t="shared" ref="AB6:AB20" si="7">C6+H6+M6+R6+W6</f>
        <v>0</v>
      </c>
      <c r="AC6" s="635">
        <f t="shared" ref="AC6:AC20" si="8">D6+I6+N6+S6+X6</f>
        <v>39</v>
      </c>
      <c r="AD6" s="255">
        <f t="shared" si="5"/>
        <v>289</v>
      </c>
    </row>
    <row r="7" spans="1:31" s="19" customFormat="1" ht="22.5" customHeight="1" x14ac:dyDescent="0.25">
      <c r="A7" s="253" t="s">
        <v>78</v>
      </c>
      <c r="B7" s="288">
        <v>26</v>
      </c>
      <c r="C7" s="288">
        <v>0</v>
      </c>
      <c r="D7" s="288">
        <v>0</v>
      </c>
      <c r="E7" s="255">
        <f t="shared" si="0"/>
        <v>26</v>
      </c>
      <c r="F7" s="312"/>
      <c r="G7" s="288">
        <v>168</v>
      </c>
      <c r="H7" s="288">
        <v>0</v>
      </c>
      <c r="I7" s="288">
        <v>22</v>
      </c>
      <c r="J7" s="255">
        <f t="shared" si="1"/>
        <v>190</v>
      </c>
      <c r="K7" s="312"/>
      <c r="L7" s="288">
        <v>9</v>
      </c>
      <c r="M7" s="288">
        <v>0</v>
      </c>
      <c r="N7" s="288">
        <v>23</v>
      </c>
      <c r="O7" s="255">
        <f t="shared" si="2"/>
        <v>32</v>
      </c>
      <c r="P7" s="312"/>
      <c r="Q7" s="288">
        <v>9</v>
      </c>
      <c r="R7" s="288">
        <v>0</v>
      </c>
      <c r="S7" s="288">
        <v>3</v>
      </c>
      <c r="T7" s="255">
        <f t="shared" si="3"/>
        <v>12</v>
      </c>
      <c r="U7" s="312"/>
      <c r="V7" s="288">
        <v>7</v>
      </c>
      <c r="W7" s="288">
        <v>0</v>
      </c>
      <c r="X7" s="288">
        <v>31</v>
      </c>
      <c r="Y7" s="255">
        <f t="shared" si="4"/>
        <v>38</v>
      </c>
      <c r="Z7" s="454"/>
      <c r="AA7" s="288">
        <f t="shared" si="6"/>
        <v>219</v>
      </c>
      <c r="AB7" s="288">
        <f t="shared" si="7"/>
        <v>0</v>
      </c>
      <c r="AC7" s="288">
        <f t="shared" si="8"/>
        <v>79</v>
      </c>
      <c r="AD7" s="255">
        <f t="shared" si="5"/>
        <v>298</v>
      </c>
    </row>
    <row r="8" spans="1:31" s="19" customFormat="1" ht="22.5" customHeight="1" x14ac:dyDescent="0.25">
      <c r="A8" s="253" t="s">
        <v>336</v>
      </c>
      <c r="B8" s="288">
        <v>23</v>
      </c>
      <c r="C8" s="288">
        <v>2</v>
      </c>
      <c r="D8" s="288">
        <v>1</v>
      </c>
      <c r="E8" s="255">
        <f t="shared" si="0"/>
        <v>26</v>
      </c>
      <c r="F8" s="312"/>
      <c r="G8" s="288">
        <v>442</v>
      </c>
      <c r="H8" s="288">
        <v>39</v>
      </c>
      <c r="I8" s="288">
        <v>12</v>
      </c>
      <c r="J8" s="255">
        <f>SUM(G8:I8)</f>
        <v>493</v>
      </c>
      <c r="K8" s="312"/>
      <c r="L8" s="288">
        <v>3</v>
      </c>
      <c r="M8" s="288">
        <v>0</v>
      </c>
      <c r="N8" s="288">
        <v>2</v>
      </c>
      <c r="O8" s="255">
        <f t="shared" si="2"/>
        <v>5</v>
      </c>
      <c r="P8" s="312"/>
      <c r="Q8" s="288">
        <v>0</v>
      </c>
      <c r="R8" s="288">
        <v>0</v>
      </c>
      <c r="S8" s="288">
        <v>0</v>
      </c>
      <c r="T8" s="255">
        <f t="shared" si="3"/>
        <v>0</v>
      </c>
      <c r="U8" s="312"/>
      <c r="V8" s="288">
        <v>0</v>
      </c>
      <c r="W8" s="288">
        <v>0</v>
      </c>
      <c r="X8" s="288">
        <v>39</v>
      </c>
      <c r="Y8" s="255">
        <f t="shared" si="4"/>
        <v>39</v>
      </c>
      <c r="Z8" s="454"/>
      <c r="AA8" s="288">
        <f t="shared" si="6"/>
        <v>468</v>
      </c>
      <c r="AB8" s="288">
        <f t="shared" si="7"/>
        <v>41</v>
      </c>
      <c r="AC8" s="288">
        <f t="shared" si="8"/>
        <v>54</v>
      </c>
      <c r="AD8" s="255">
        <f t="shared" si="5"/>
        <v>563</v>
      </c>
    </row>
    <row r="9" spans="1:31" s="19" customFormat="1" ht="22.5" customHeight="1" x14ac:dyDescent="0.25">
      <c r="A9" s="283" t="s">
        <v>89</v>
      </c>
      <c r="B9" s="288">
        <v>13</v>
      </c>
      <c r="C9" s="288">
        <v>0</v>
      </c>
      <c r="D9" s="288">
        <v>0</v>
      </c>
      <c r="E9" s="255">
        <f t="shared" si="0"/>
        <v>13</v>
      </c>
      <c r="F9" s="312"/>
      <c r="G9" s="288">
        <v>104</v>
      </c>
      <c r="H9" s="288">
        <v>0</v>
      </c>
      <c r="I9" s="288">
        <v>0</v>
      </c>
      <c r="J9" s="255">
        <f t="shared" si="1"/>
        <v>104</v>
      </c>
      <c r="K9" s="312"/>
      <c r="L9" s="288">
        <v>0</v>
      </c>
      <c r="M9" s="288">
        <v>0</v>
      </c>
      <c r="N9" s="288">
        <v>0</v>
      </c>
      <c r="O9" s="255">
        <f t="shared" si="2"/>
        <v>0</v>
      </c>
      <c r="P9" s="312"/>
      <c r="Q9" s="288">
        <v>0</v>
      </c>
      <c r="R9" s="288">
        <v>0</v>
      </c>
      <c r="S9" s="288">
        <v>0</v>
      </c>
      <c r="T9" s="255">
        <f t="shared" si="3"/>
        <v>0</v>
      </c>
      <c r="U9" s="312"/>
      <c r="V9" s="288">
        <v>0</v>
      </c>
      <c r="W9" s="288">
        <v>0</v>
      </c>
      <c r="X9" s="288">
        <v>0</v>
      </c>
      <c r="Y9" s="255">
        <f t="shared" si="4"/>
        <v>0</v>
      </c>
      <c r="Z9" s="454"/>
      <c r="AA9" s="288">
        <f t="shared" si="6"/>
        <v>117</v>
      </c>
      <c r="AB9" s="288">
        <f t="shared" si="7"/>
        <v>0</v>
      </c>
      <c r="AC9" s="288">
        <f t="shared" si="8"/>
        <v>0</v>
      </c>
      <c r="AD9" s="255">
        <f t="shared" si="5"/>
        <v>117</v>
      </c>
    </row>
    <row r="10" spans="1:31" s="19" customFormat="1" ht="22.5" customHeight="1" x14ac:dyDescent="0.25">
      <c r="A10" s="283" t="s">
        <v>80</v>
      </c>
      <c r="B10" s="288">
        <v>12</v>
      </c>
      <c r="C10" s="288">
        <v>0</v>
      </c>
      <c r="D10" s="288">
        <v>0</v>
      </c>
      <c r="E10" s="255">
        <f t="shared" si="0"/>
        <v>12</v>
      </c>
      <c r="F10" s="312"/>
      <c r="G10" s="288">
        <v>188</v>
      </c>
      <c r="H10" s="288">
        <v>0</v>
      </c>
      <c r="I10" s="288">
        <v>62</v>
      </c>
      <c r="J10" s="255">
        <f t="shared" si="1"/>
        <v>250</v>
      </c>
      <c r="K10" s="312"/>
      <c r="L10" s="288">
        <v>2</v>
      </c>
      <c r="M10" s="288">
        <v>0</v>
      </c>
      <c r="N10" s="288">
        <v>3</v>
      </c>
      <c r="O10" s="255">
        <f t="shared" si="2"/>
        <v>5</v>
      </c>
      <c r="P10" s="312"/>
      <c r="Q10" s="288">
        <v>0</v>
      </c>
      <c r="R10" s="288">
        <v>0</v>
      </c>
      <c r="S10" s="288">
        <v>0</v>
      </c>
      <c r="T10" s="255">
        <f t="shared" si="3"/>
        <v>0</v>
      </c>
      <c r="U10" s="312"/>
      <c r="V10" s="288">
        <v>1</v>
      </c>
      <c r="W10" s="288">
        <v>0</v>
      </c>
      <c r="X10" s="288">
        <v>0</v>
      </c>
      <c r="Y10" s="255">
        <f t="shared" si="4"/>
        <v>1</v>
      </c>
      <c r="Z10" s="454"/>
      <c r="AA10" s="288">
        <f t="shared" si="6"/>
        <v>203</v>
      </c>
      <c r="AB10" s="288">
        <f t="shared" si="7"/>
        <v>0</v>
      </c>
      <c r="AC10" s="288">
        <f t="shared" si="8"/>
        <v>65</v>
      </c>
      <c r="AD10" s="255">
        <f t="shared" si="5"/>
        <v>268</v>
      </c>
    </row>
    <row r="11" spans="1:31" s="19" customFormat="1" ht="22.5" customHeight="1" x14ac:dyDescent="0.25">
      <c r="A11" s="283" t="s">
        <v>82</v>
      </c>
      <c r="B11" s="288">
        <v>18</v>
      </c>
      <c r="C11" s="288">
        <v>0</v>
      </c>
      <c r="D11" s="288">
        <v>2</v>
      </c>
      <c r="E11" s="255">
        <f t="shared" si="0"/>
        <v>20</v>
      </c>
      <c r="F11" s="312"/>
      <c r="G11" s="288">
        <v>259</v>
      </c>
      <c r="H11" s="288">
        <v>18</v>
      </c>
      <c r="I11" s="288">
        <v>25</v>
      </c>
      <c r="J11" s="255">
        <f t="shared" si="1"/>
        <v>302</v>
      </c>
      <c r="K11" s="312"/>
      <c r="L11" s="288">
        <v>1</v>
      </c>
      <c r="M11" s="288">
        <v>0</v>
      </c>
      <c r="N11" s="288">
        <v>3</v>
      </c>
      <c r="O11" s="255">
        <f t="shared" si="2"/>
        <v>4</v>
      </c>
      <c r="P11" s="312"/>
      <c r="Q11" s="288">
        <v>1</v>
      </c>
      <c r="R11" s="288">
        <v>0</v>
      </c>
      <c r="S11" s="288">
        <v>3</v>
      </c>
      <c r="T11" s="255">
        <f t="shared" si="3"/>
        <v>4</v>
      </c>
      <c r="U11" s="312"/>
      <c r="V11" s="288">
        <v>22</v>
      </c>
      <c r="W11" s="288">
        <v>1</v>
      </c>
      <c r="X11" s="288">
        <v>24</v>
      </c>
      <c r="Y11" s="255">
        <f t="shared" si="4"/>
        <v>47</v>
      </c>
      <c r="Z11" s="454"/>
      <c r="AA11" s="288">
        <f t="shared" si="6"/>
        <v>301</v>
      </c>
      <c r="AB11" s="288">
        <f t="shared" si="7"/>
        <v>19</v>
      </c>
      <c r="AC11" s="288">
        <f t="shared" si="8"/>
        <v>57</v>
      </c>
      <c r="AD11" s="255">
        <f t="shared" si="5"/>
        <v>377</v>
      </c>
    </row>
    <row r="12" spans="1:31" s="19" customFormat="1" ht="22.5" customHeight="1" x14ac:dyDescent="0.25">
      <c r="A12" s="283" t="s">
        <v>74</v>
      </c>
      <c r="B12" s="288">
        <v>7</v>
      </c>
      <c r="C12" s="288">
        <v>0</v>
      </c>
      <c r="D12" s="288">
        <v>0</v>
      </c>
      <c r="E12" s="255">
        <f t="shared" si="0"/>
        <v>7</v>
      </c>
      <c r="F12" s="312"/>
      <c r="G12" s="288">
        <v>106</v>
      </c>
      <c r="H12" s="288">
        <v>0</v>
      </c>
      <c r="I12" s="288">
        <v>0</v>
      </c>
      <c r="J12" s="255">
        <f t="shared" si="1"/>
        <v>106</v>
      </c>
      <c r="K12" s="312"/>
      <c r="L12" s="288">
        <v>0</v>
      </c>
      <c r="M12" s="288">
        <v>0</v>
      </c>
      <c r="N12" s="288">
        <v>0</v>
      </c>
      <c r="O12" s="255">
        <f t="shared" si="2"/>
        <v>0</v>
      </c>
      <c r="P12" s="312"/>
      <c r="Q12" s="288">
        <v>0</v>
      </c>
      <c r="R12" s="288">
        <v>0</v>
      </c>
      <c r="S12" s="288">
        <v>0</v>
      </c>
      <c r="T12" s="255">
        <f t="shared" si="3"/>
        <v>0</v>
      </c>
      <c r="U12" s="312"/>
      <c r="V12" s="288">
        <v>0</v>
      </c>
      <c r="W12" s="288">
        <v>0</v>
      </c>
      <c r="X12" s="288">
        <v>12</v>
      </c>
      <c r="Y12" s="255">
        <f t="shared" si="4"/>
        <v>12</v>
      </c>
      <c r="Z12" s="454"/>
      <c r="AA12" s="288">
        <f t="shared" si="6"/>
        <v>113</v>
      </c>
      <c r="AB12" s="288">
        <f t="shared" si="7"/>
        <v>0</v>
      </c>
      <c r="AC12" s="288">
        <f t="shared" si="8"/>
        <v>12</v>
      </c>
      <c r="AD12" s="255">
        <f t="shared" si="5"/>
        <v>125</v>
      </c>
    </row>
    <row r="13" spans="1:31" s="19" customFormat="1" ht="22.5" customHeight="1" x14ac:dyDescent="0.25">
      <c r="A13" s="283" t="s">
        <v>81</v>
      </c>
      <c r="B13" s="288">
        <v>16</v>
      </c>
      <c r="C13" s="288">
        <v>0</v>
      </c>
      <c r="D13" s="288">
        <v>4</v>
      </c>
      <c r="E13" s="255">
        <f t="shared" si="0"/>
        <v>20</v>
      </c>
      <c r="F13" s="312"/>
      <c r="G13" s="288">
        <v>223</v>
      </c>
      <c r="H13" s="288">
        <v>0</v>
      </c>
      <c r="I13" s="288">
        <v>38</v>
      </c>
      <c r="J13" s="255">
        <f t="shared" si="1"/>
        <v>261</v>
      </c>
      <c r="K13" s="312"/>
      <c r="L13" s="288">
        <v>19</v>
      </c>
      <c r="M13" s="288">
        <v>0</v>
      </c>
      <c r="N13" s="288">
        <v>5</v>
      </c>
      <c r="O13" s="255">
        <f t="shared" si="2"/>
        <v>24</v>
      </c>
      <c r="P13" s="312"/>
      <c r="Q13" s="288">
        <v>13</v>
      </c>
      <c r="R13" s="288">
        <v>0</v>
      </c>
      <c r="S13" s="288">
        <v>1</v>
      </c>
      <c r="T13" s="255">
        <f t="shared" si="3"/>
        <v>14</v>
      </c>
      <c r="U13" s="312"/>
      <c r="V13" s="288">
        <v>15</v>
      </c>
      <c r="W13" s="288">
        <v>0</v>
      </c>
      <c r="X13" s="288">
        <v>14</v>
      </c>
      <c r="Y13" s="255">
        <f t="shared" si="4"/>
        <v>29</v>
      </c>
      <c r="Z13" s="454"/>
      <c r="AA13" s="288">
        <f t="shared" si="6"/>
        <v>286</v>
      </c>
      <c r="AB13" s="288">
        <f t="shared" si="7"/>
        <v>0</v>
      </c>
      <c r="AC13" s="288">
        <f t="shared" si="8"/>
        <v>62</v>
      </c>
      <c r="AD13" s="255">
        <f t="shared" si="5"/>
        <v>348</v>
      </c>
    </row>
    <row r="14" spans="1:31" s="19" customFormat="1" ht="22.5" customHeight="1" x14ac:dyDescent="0.25">
      <c r="A14" s="283" t="s">
        <v>79</v>
      </c>
      <c r="B14" s="288">
        <v>9</v>
      </c>
      <c r="C14" s="288">
        <v>11</v>
      </c>
      <c r="D14" s="288">
        <v>2</v>
      </c>
      <c r="E14" s="255">
        <f t="shared" si="0"/>
        <v>22</v>
      </c>
      <c r="F14" s="312"/>
      <c r="G14" s="288">
        <v>105</v>
      </c>
      <c r="H14" s="288">
        <v>117</v>
      </c>
      <c r="I14" s="288">
        <v>44</v>
      </c>
      <c r="J14" s="255">
        <f t="shared" si="1"/>
        <v>266</v>
      </c>
      <c r="K14" s="312"/>
      <c r="L14" s="288">
        <v>3</v>
      </c>
      <c r="M14" s="288">
        <v>0</v>
      </c>
      <c r="N14" s="288">
        <v>7</v>
      </c>
      <c r="O14" s="255">
        <f t="shared" si="2"/>
        <v>10</v>
      </c>
      <c r="P14" s="312"/>
      <c r="Q14" s="288">
        <v>5</v>
      </c>
      <c r="R14" s="288">
        <v>0</v>
      </c>
      <c r="S14" s="288">
        <v>0</v>
      </c>
      <c r="T14" s="255">
        <f t="shared" si="3"/>
        <v>5</v>
      </c>
      <c r="U14" s="312"/>
      <c r="V14" s="288">
        <v>0</v>
      </c>
      <c r="W14" s="288">
        <v>2</v>
      </c>
      <c r="X14" s="288">
        <v>52</v>
      </c>
      <c r="Y14" s="255">
        <f t="shared" si="4"/>
        <v>54</v>
      </c>
      <c r="Z14" s="454"/>
      <c r="AA14" s="288">
        <f t="shared" si="6"/>
        <v>122</v>
      </c>
      <c r="AB14" s="288">
        <f t="shared" si="7"/>
        <v>130</v>
      </c>
      <c r="AC14" s="288">
        <f t="shared" si="8"/>
        <v>105</v>
      </c>
      <c r="AD14" s="255">
        <f t="shared" si="5"/>
        <v>357</v>
      </c>
      <c r="AE14" s="255"/>
    </row>
    <row r="15" spans="1:31" s="19" customFormat="1" ht="22.5" customHeight="1" x14ac:dyDescent="0.25">
      <c r="A15" s="283" t="s">
        <v>83</v>
      </c>
      <c r="B15" s="288">
        <v>6</v>
      </c>
      <c r="C15" s="288">
        <v>0</v>
      </c>
      <c r="D15" s="288">
        <v>0</v>
      </c>
      <c r="E15" s="255">
        <f t="shared" si="0"/>
        <v>6</v>
      </c>
      <c r="F15" s="312"/>
      <c r="G15" s="288">
        <v>107</v>
      </c>
      <c r="H15" s="288">
        <v>1</v>
      </c>
      <c r="I15" s="288">
        <v>2</v>
      </c>
      <c r="J15" s="255">
        <f t="shared" si="1"/>
        <v>110</v>
      </c>
      <c r="K15" s="312"/>
      <c r="L15" s="288">
        <v>7</v>
      </c>
      <c r="M15" s="288">
        <v>0</v>
      </c>
      <c r="N15" s="288">
        <v>1</v>
      </c>
      <c r="O15" s="255">
        <f t="shared" si="2"/>
        <v>8</v>
      </c>
      <c r="P15" s="312"/>
      <c r="Q15" s="288">
        <v>1</v>
      </c>
      <c r="R15" s="288">
        <v>0</v>
      </c>
      <c r="S15" s="288">
        <v>0</v>
      </c>
      <c r="T15" s="255">
        <f t="shared" si="3"/>
        <v>1</v>
      </c>
      <c r="U15" s="312"/>
      <c r="V15" s="288">
        <v>8</v>
      </c>
      <c r="W15" s="288">
        <v>0</v>
      </c>
      <c r="X15" s="288">
        <v>15</v>
      </c>
      <c r="Y15" s="255">
        <f t="shared" si="4"/>
        <v>23</v>
      </c>
      <c r="Z15" s="454"/>
      <c r="AA15" s="288">
        <f t="shared" si="6"/>
        <v>129</v>
      </c>
      <c r="AB15" s="288">
        <f t="shared" si="7"/>
        <v>1</v>
      </c>
      <c r="AC15" s="288">
        <f t="shared" si="8"/>
        <v>18</v>
      </c>
      <c r="AD15" s="255">
        <f t="shared" si="5"/>
        <v>148</v>
      </c>
    </row>
    <row r="16" spans="1:31" s="19" customFormat="1" ht="22.5" customHeight="1" x14ac:dyDescent="0.25">
      <c r="A16" s="283" t="s">
        <v>84</v>
      </c>
      <c r="B16" s="288">
        <v>15</v>
      </c>
      <c r="C16" s="288">
        <v>0</v>
      </c>
      <c r="D16" s="288">
        <v>2</v>
      </c>
      <c r="E16" s="255">
        <f t="shared" si="0"/>
        <v>17</v>
      </c>
      <c r="F16" s="312"/>
      <c r="G16" s="288">
        <v>285</v>
      </c>
      <c r="H16" s="288">
        <v>0</v>
      </c>
      <c r="I16" s="288">
        <v>25</v>
      </c>
      <c r="J16" s="255">
        <f t="shared" si="1"/>
        <v>310</v>
      </c>
      <c r="K16" s="312"/>
      <c r="L16" s="288">
        <v>6</v>
      </c>
      <c r="M16" s="288">
        <v>0</v>
      </c>
      <c r="N16" s="288">
        <v>19</v>
      </c>
      <c r="O16" s="255">
        <f t="shared" si="2"/>
        <v>25</v>
      </c>
      <c r="P16" s="312"/>
      <c r="Q16" s="288">
        <v>1</v>
      </c>
      <c r="R16" s="288">
        <v>0</v>
      </c>
      <c r="S16" s="288">
        <v>19</v>
      </c>
      <c r="T16" s="255">
        <f t="shared" si="3"/>
        <v>20</v>
      </c>
      <c r="U16" s="312"/>
      <c r="V16" s="288">
        <v>20</v>
      </c>
      <c r="W16" s="288">
        <v>0</v>
      </c>
      <c r="X16" s="288">
        <v>37</v>
      </c>
      <c r="Y16" s="255">
        <f t="shared" si="4"/>
        <v>57</v>
      </c>
      <c r="Z16" s="454"/>
      <c r="AA16" s="288">
        <f t="shared" si="6"/>
        <v>327</v>
      </c>
      <c r="AB16" s="288">
        <f t="shared" si="7"/>
        <v>0</v>
      </c>
      <c r="AC16" s="288">
        <f t="shared" si="8"/>
        <v>102</v>
      </c>
      <c r="AD16" s="255">
        <f t="shared" si="5"/>
        <v>429</v>
      </c>
    </row>
    <row r="17" spans="1:31" s="19" customFormat="1" ht="22.5" customHeight="1" x14ac:dyDescent="0.25">
      <c r="A17" s="283" t="s">
        <v>85</v>
      </c>
      <c r="B17" s="288">
        <v>5</v>
      </c>
      <c r="C17" s="288">
        <v>0</v>
      </c>
      <c r="D17" s="288">
        <v>0</v>
      </c>
      <c r="E17" s="255">
        <f t="shared" si="0"/>
        <v>5</v>
      </c>
      <c r="F17" s="312"/>
      <c r="G17" s="288">
        <v>105</v>
      </c>
      <c r="H17" s="288">
        <v>0</v>
      </c>
      <c r="I17" s="288">
        <v>3</v>
      </c>
      <c r="J17" s="255">
        <f t="shared" si="1"/>
        <v>108</v>
      </c>
      <c r="K17" s="312"/>
      <c r="L17" s="288">
        <v>5</v>
      </c>
      <c r="M17" s="288">
        <v>0</v>
      </c>
      <c r="N17" s="288">
        <v>43</v>
      </c>
      <c r="O17" s="255">
        <f t="shared" si="2"/>
        <v>48</v>
      </c>
      <c r="P17" s="312"/>
      <c r="Q17" s="288">
        <v>7</v>
      </c>
      <c r="R17" s="288">
        <v>0</v>
      </c>
      <c r="S17" s="288">
        <v>11</v>
      </c>
      <c r="T17" s="255">
        <f t="shared" si="3"/>
        <v>18</v>
      </c>
      <c r="U17" s="312"/>
      <c r="V17" s="288">
        <v>0</v>
      </c>
      <c r="W17" s="288">
        <v>0</v>
      </c>
      <c r="X17" s="288">
        <v>28</v>
      </c>
      <c r="Y17" s="255">
        <f t="shared" si="4"/>
        <v>28</v>
      </c>
      <c r="Z17" s="454"/>
      <c r="AA17" s="288">
        <f t="shared" si="6"/>
        <v>122</v>
      </c>
      <c r="AB17" s="288">
        <f t="shared" si="7"/>
        <v>0</v>
      </c>
      <c r="AC17" s="288">
        <f t="shared" si="8"/>
        <v>85</v>
      </c>
      <c r="AD17" s="255">
        <f t="shared" si="5"/>
        <v>207</v>
      </c>
    </row>
    <row r="18" spans="1:31" s="19" customFormat="1" ht="22.5" customHeight="1" x14ac:dyDescent="0.25">
      <c r="A18" s="283" t="s">
        <v>86</v>
      </c>
      <c r="B18" s="288">
        <v>4</v>
      </c>
      <c r="C18" s="288">
        <v>2</v>
      </c>
      <c r="D18" s="288">
        <v>0</v>
      </c>
      <c r="E18" s="255">
        <f t="shared" si="0"/>
        <v>6</v>
      </c>
      <c r="F18" s="312"/>
      <c r="G18" s="288">
        <v>185</v>
      </c>
      <c r="H18" s="288">
        <v>6</v>
      </c>
      <c r="I18" s="288">
        <v>37</v>
      </c>
      <c r="J18" s="255">
        <f t="shared" si="1"/>
        <v>228</v>
      </c>
      <c r="K18" s="312"/>
      <c r="L18" s="288">
        <v>24</v>
      </c>
      <c r="M18" s="288">
        <v>0</v>
      </c>
      <c r="N18" s="288">
        <v>55</v>
      </c>
      <c r="O18" s="255">
        <f t="shared" si="2"/>
        <v>79</v>
      </c>
      <c r="P18" s="312"/>
      <c r="Q18" s="288">
        <v>0</v>
      </c>
      <c r="R18" s="288">
        <v>0</v>
      </c>
      <c r="S18" s="288">
        <v>0</v>
      </c>
      <c r="T18" s="255">
        <f t="shared" si="3"/>
        <v>0</v>
      </c>
      <c r="U18" s="312"/>
      <c r="V18" s="288">
        <v>12</v>
      </c>
      <c r="W18" s="288">
        <v>0</v>
      </c>
      <c r="X18" s="288">
        <v>43</v>
      </c>
      <c r="Y18" s="255">
        <f t="shared" si="4"/>
        <v>55</v>
      </c>
      <c r="Z18" s="454"/>
      <c r="AA18" s="288">
        <f t="shared" si="6"/>
        <v>225</v>
      </c>
      <c r="AB18" s="288">
        <f t="shared" si="7"/>
        <v>8</v>
      </c>
      <c r="AC18" s="288">
        <f t="shared" si="8"/>
        <v>135</v>
      </c>
      <c r="AD18" s="255">
        <f t="shared" si="5"/>
        <v>368</v>
      </c>
    </row>
    <row r="19" spans="1:31" s="19" customFormat="1" ht="22.5" customHeight="1" x14ac:dyDescent="0.25">
      <c r="A19" s="283" t="s">
        <v>87</v>
      </c>
      <c r="B19" s="288">
        <v>13</v>
      </c>
      <c r="C19" s="288">
        <v>0</v>
      </c>
      <c r="D19" s="288">
        <v>2</v>
      </c>
      <c r="E19" s="255">
        <f t="shared" si="0"/>
        <v>15</v>
      </c>
      <c r="F19" s="312"/>
      <c r="G19" s="288">
        <v>321</v>
      </c>
      <c r="H19" s="288">
        <v>0</v>
      </c>
      <c r="I19" s="288">
        <v>37</v>
      </c>
      <c r="J19" s="255">
        <f t="shared" si="1"/>
        <v>358</v>
      </c>
      <c r="K19" s="312"/>
      <c r="L19" s="288">
        <v>8</v>
      </c>
      <c r="M19" s="288">
        <v>0</v>
      </c>
      <c r="N19" s="288">
        <v>4</v>
      </c>
      <c r="O19" s="255">
        <f t="shared" si="2"/>
        <v>12</v>
      </c>
      <c r="P19" s="312"/>
      <c r="Q19" s="288">
        <v>0</v>
      </c>
      <c r="R19" s="288">
        <v>0</v>
      </c>
      <c r="S19" s="288">
        <v>0</v>
      </c>
      <c r="T19" s="255">
        <f t="shared" si="3"/>
        <v>0</v>
      </c>
      <c r="U19" s="312"/>
      <c r="V19" s="288">
        <v>0</v>
      </c>
      <c r="W19" s="288">
        <v>0</v>
      </c>
      <c r="X19" s="288">
        <v>22</v>
      </c>
      <c r="Y19" s="255">
        <f t="shared" si="4"/>
        <v>22</v>
      </c>
      <c r="Z19" s="454"/>
      <c r="AA19" s="288">
        <f t="shared" si="6"/>
        <v>342</v>
      </c>
      <c r="AB19" s="288">
        <f t="shared" si="7"/>
        <v>0</v>
      </c>
      <c r="AC19" s="288">
        <f t="shared" si="8"/>
        <v>65</v>
      </c>
      <c r="AD19" s="255">
        <f t="shared" si="5"/>
        <v>407</v>
      </c>
      <c r="AE19" s="255"/>
    </row>
    <row r="20" spans="1:31" s="19" customFormat="1" ht="22.5" customHeight="1" thickBot="1" x14ac:dyDescent="0.3">
      <c r="A20" s="283" t="s">
        <v>88</v>
      </c>
      <c r="B20" s="644">
        <v>10</v>
      </c>
      <c r="C20" s="644">
        <v>0</v>
      </c>
      <c r="D20" s="644">
        <v>0</v>
      </c>
      <c r="E20" s="255">
        <f t="shared" si="0"/>
        <v>10</v>
      </c>
      <c r="F20" s="312"/>
      <c r="G20" s="644">
        <v>337</v>
      </c>
      <c r="H20" s="644">
        <v>0</v>
      </c>
      <c r="I20" s="644">
        <v>0</v>
      </c>
      <c r="J20" s="255">
        <f t="shared" si="1"/>
        <v>337</v>
      </c>
      <c r="K20" s="312"/>
      <c r="L20" s="644">
        <v>12</v>
      </c>
      <c r="M20" s="644">
        <v>0</v>
      </c>
      <c r="N20" s="644">
        <v>31</v>
      </c>
      <c r="O20" s="255">
        <f t="shared" si="2"/>
        <v>43</v>
      </c>
      <c r="P20" s="312"/>
      <c r="Q20" s="644">
        <v>0</v>
      </c>
      <c r="R20" s="644">
        <v>0</v>
      </c>
      <c r="S20" s="644">
        <v>0</v>
      </c>
      <c r="T20" s="255">
        <f t="shared" si="3"/>
        <v>0</v>
      </c>
      <c r="U20" s="312"/>
      <c r="V20" s="644">
        <v>0</v>
      </c>
      <c r="W20" s="644">
        <v>0</v>
      </c>
      <c r="X20" s="644">
        <v>25</v>
      </c>
      <c r="Y20" s="645">
        <f t="shared" si="4"/>
        <v>25</v>
      </c>
      <c r="Z20" s="646"/>
      <c r="AA20" s="644">
        <f t="shared" si="6"/>
        <v>359</v>
      </c>
      <c r="AB20" s="644">
        <f t="shared" si="7"/>
        <v>0</v>
      </c>
      <c r="AC20" s="644">
        <f t="shared" si="8"/>
        <v>56</v>
      </c>
      <c r="AD20" s="645">
        <f t="shared" si="5"/>
        <v>415</v>
      </c>
    </row>
    <row r="21" spans="1:31" ht="22.5" customHeight="1" thickTop="1" thickBot="1" x14ac:dyDescent="0.3">
      <c r="A21" s="265" t="s">
        <v>313</v>
      </c>
      <c r="B21" s="266">
        <f>SUM(B5:B20)</f>
        <v>219</v>
      </c>
      <c r="C21" s="266">
        <f>SUM(C5:C20)</f>
        <v>15</v>
      </c>
      <c r="D21" s="266">
        <f>SUM(D5:D20)</f>
        <v>14</v>
      </c>
      <c r="E21" s="268">
        <f>SUM(E5:E20)</f>
        <v>248</v>
      </c>
      <c r="F21" s="313"/>
      <c r="G21" s="268">
        <f>SUM(G5:G20)</f>
        <v>3093</v>
      </c>
      <c r="H21" s="266">
        <f>SUM(H5:H20)</f>
        <v>181</v>
      </c>
      <c r="I21" s="266">
        <f>SUM(I5:I20)</f>
        <v>336</v>
      </c>
      <c r="J21" s="268">
        <f>SUM(J5:J20)</f>
        <v>3610</v>
      </c>
      <c r="K21" s="313"/>
      <c r="L21" s="266">
        <f>SUM(L5:L20)</f>
        <v>104</v>
      </c>
      <c r="M21" s="266">
        <f>SUM(M5:M20)</f>
        <v>0</v>
      </c>
      <c r="N21" s="266">
        <f>SUM(N5:N20)</f>
        <v>196</v>
      </c>
      <c r="O21" s="268">
        <f>SUM(O5:O20)</f>
        <v>300</v>
      </c>
      <c r="P21" s="313"/>
      <c r="Q21" s="266">
        <f>SUM(Q5:Q20)</f>
        <v>557</v>
      </c>
      <c r="R21" s="266">
        <f>SUM(R5:R20)</f>
        <v>0</v>
      </c>
      <c r="S21" s="266">
        <f>SUM(S5:S20)</f>
        <v>176</v>
      </c>
      <c r="T21" s="268">
        <f>SUM(T5:T20)</f>
        <v>733</v>
      </c>
      <c r="U21" s="313"/>
      <c r="V21" s="266">
        <f>SUM(V5:V20)</f>
        <v>85</v>
      </c>
      <c r="W21" s="266">
        <f>SUM(W5:W20)</f>
        <v>3</v>
      </c>
      <c r="X21" s="266">
        <f>SUM(X5:X20)</f>
        <v>346</v>
      </c>
      <c r="Y21" s="268">
        <f>SUM(Y5:Y20)</f>
        <v>434</v>
      </c>
      <c r="Z21" s="268"/>
      <c r="AA21" s="266">
        <f>SUM(AA5:AA20)</f>
        <v>4058</v>
      </c>
      <c r="AB21" s="266">
        <f>SUM(AB5:AB20)</f>
        <v>199</v>
      </c>
      <c r="AC21" s="266">
        <f>SUM(AC5:AC20)</f>
        <v>1068</v>
      </c>
      <c r="AD21" s="268">
        <f>SUM(AD5:AD20)</f>
        <v>5325</v>
      </c>
    </row>
    <row r="22" spans="1:31" s="246" customFormat="1" ht="17.25" customHeight="1" thickTop="1" x14ac:dyDescent="0.2">
      <c r="A22" s="817" t="s">
        <v>326</v>
      </c>
      <c r="B22" s="817"/>
      <c r="C22" s="817"/>
      <c r="D22" s="817"/>
      <c r="E22" s="817"/>
      <c r="F22" s="817"/>
      <c r="G22" s="817"/>
      <c r="H22" s="817"/>
      <c r="I22" s="817"/>
      <c r="J22" s="817"/>
      <c r="K22" s="817"/>
      <c r="L22" s="817"/>
      <c r="M22" s="817"/>
      <c r="N22" s="817"/>
      <c r="O22" s="817"/>
      <c r="Q22" s="414"/>
      <c r="R22" s="415"/>
      <c r="S22" s="415"/>
    </row>
    <row r="23" spans="1:31" s="246" customFormat="1" ht="17.25" customHeight="1" x14ac:dyDescent="0.2">
      <c r="A23" s="815" t="s">
        <v>327</v>
      </c>
      <c r="B23" s="815"/>
      <c r="C23" s="815"/>
      <c r="D23" s="815"/>
      <c r="E23" s="815"/>
      <c r="F23" s="815"/>
      <c r="G23" s="815"/>
      <c r="H23" s="815"/>
      <c r="I23" s="815"/>
      <c r="J23" s="815"/>
      <c r="K23" s="815"/>
      <c r="L23" s="815"/>
      <c r="M23" s="815"/>
      <c r="N23" s="815"/>
      <c r="O23" s="248"/>
      <c r="T23" s="248"/>
      <c r="AA23" s="550"/>
      <c r="AB23" s="550"/>
      <c r="AC23" s="550"/>
      <c r="AD23" s="550"/>
    </row>
    <row r="24" spans="1:31" s="246" customFormat="1" ht="17.25" customHeight="1" thickBot="1" x14ac:dyDescent="0.25">
      <c r="A24" s="815"/>
      <c r="B24" s="815"/>
      <c r="C24" s="815"/>
      <c r="D24" s="815"/>
      <c r="E24" s="815"/>
      <c r="F24" s="815"/>
      <c r="G24" s="815"/>
      <c r="H24" s="815"/>
      <c r="I24" s="815"/>
      <c r="J24" s="815"/>
      <c r="K24" s="815"/>
      <c r="L24" s="815"/>
      <c r="M24" s="815"/>
      <c r="N24" s="815"/>
      <c r="O24" s="248"/>
      <c r="T24" s="248"/>
    </row>
    <row r="25" spans="1:31" ht="17.25" customHeight="1" x14ac:dyDescent="0.25">
      <c r="A25" s="825" t="s">
        <v>255</v>
      </c>
      <c r="B25" s="825"/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316"/>
      <c r="X25" s="316"/>
      <c r="Y25" s="321"/>
      <c r="Z25" s="321"/>
      <c r="AA25" s="321"/>
      <c r="AB25" s="321"/>
      <c r="AC25" s="321"/>
      <c r="AD25" s="321">
        <v>27</v>
      </c>
    </row>
  </sheetData>
  <mergeCells count="12">
    <mergeCell ref="A25:V25"/>
    <mergeCell ref="A3:A4"/>
    <mergeCell ref="B3:E3"/>
    <mergeCell ref="AA3:AD3"/>
    <mergeCell ref="A1:AD1"/>
    <mergeCell ref="G3:J3"/>
    <mergeCell ref="L3:O3"/>
    <mergeCell ref="V3:Y3"/>
    <mergeCell ref="A23:N23"/>
    <mergeCell ref="A24:N24"/>
    <mergeCell ref="Q3:T3"/>
    <mergeCell ref="A22:O2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1"/>
  <sheetViews>
    <sheetView rightToLeft="1" view="pageBreakPreview" topLeftCell="A4" zoomScale="90" zoomScaleSheetLayoutView="90" workbookViewId="0">
      <selection activeCell="Q22" sqref="Q22"/>
    </sheetView>
  </sheetViews>
  <sheetFormatPr defaultRowHeight="15" x14ac:dyDescent="0.25"/>
  <cols>
    <col min="1" max="1" width="9.7109375" customWidth="1"/>
    <col min="2" max="2" width="11.5703125" customWidth="1"/>
    <col min="3" max="3" width="6.140625" customWidth="1"/>
    <col min="4" max="4" width="1.42578125" customWidth="1"/>
    <col min="5" max="5" width="12.42578125" customWidth="1"/>
    <col min="6" max="6" width="6.140625" customWidth="1"/>
    <col min="7" max="7" width="1.5703125" customWidth="1"/>
    <col min="8" max="8" width="12.42578125" customWidth="1"/>
    <col min="9" max="9" width="6.140625" customWidth="1"/>
    <col min="10" max="10" width="1.42578125" customWidth="1"/>
    <col min="11" max="11" width="12.42578125" customWidth="1"/>
    <col min="12" max="12" width="6.140625" customWidth="1"/>
    <col min="13" max="13" width="1.42578125" customWidth="1"/>
    <col min="14" max="14" width="12.42578125" customWidth="1"/>
    <col min="15" max="15" width="6.140625" customWidth="1"/>
    <col min="16" max="16" width="1.42578125" customWidth="1"/>
    <col min="17" max="17" width="12.42578125" customWidth="1"/>
    <col min="18" max="18" width="6.140625" customWidth="1"/>
    <col min="19" max="19" width="15.42578125" customWidth="1"/>
  </cols>
  <sheetData>
    <row r="1" spans="1:19" ht="21.75" customHeight="1" x14ac:dyDescent="0.25">
      <c r="A1" s="829" t="s">
        <v>440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</row>
    <row r="2" spans="1:19" ht="21.75" customHeight="1" thickBot="1" x14ac:dyDescent="0.3">
      <c r="A2" s="280" t="s">
        <v>499</v>
      </c>
      <c r="B2" s="281"/>
      <c r="C2" s="281"/>
      <c r="D2" s="281"/>
      <c r="E2" s="281"/>
      <c r="F2" s="281"/>
      <c r="G2" s="281"/>
      <c r="H2" s="281"/>
      <c r="I2" s="281"/>
      <c r="J2" s="280"/>
      <c r="K2" s="281"/>
      <c r="L2" s="281"/>
      <c r="M2" s="280"/>
      <c r="N2" s="281"/>
      <c r="O2" s="281"/>
      <c r="P2" s="281"/>
      <c r="Q2" s="281"/>
    </row>
    <row r="3" spans="1:19" ht="37.5" customHeight="1" thickTop="1" x14ac:dyDescent="0.25">
      <c r="A3" s="826" t="s">
        <v>75</v>
      </c>
      <c r="B3" s="828" t="s">
        <v>265</v>
      </c>
      <c r="C3" s="828"/>
      <c r="D3" s="327"/>
      <c r="E3" s="828" t="s">
        <v>256</v>
      </c>
      <c r="F3" s="828"/>
      <c r="G3" s="327"/>
      <c r="H3" s="828" t="s">
        <v>261</v>
      </c>
      <c r="I3" s="828"/>
      <c r="J3" s="327"/>
      <c r="K3" s="828" t="s">
        <v>350</v>
      </c>
      <c r="L3" s="828"/>
      <c r="M3" s="428"/>
      <c r="N3" s="828" t="s">
        <v>263</v>
      </c>
      <c r="O3" s="828"/>
      <c r="P3" s="327"/>
      <c r="Q3" s="828" t="s">
        <v>90</v>
      </c>
      <c r="R3" s="828"/>
      <c r="S3" s="826" t="s">
        <v>358</v>
      </c>
    </row>
    <row r="4" spans="1:19" ht="37.5" customHeight="1" x14ac:dyDescent="0.25">
      <c r="A4" s="827"/>
      <c r="B4" s="337" t="s">
        <v>315</v>
      </c>
      <c r="C4" s="338" t="s">
        <v>254</v>
      </c>
      <c r="D4" s="285"/>
      <c r="E4" s="337" t="s">
        <v>315</v>
      </c>
      <c r="F4" s="338" t="s">
        <v>254</v>
      </c>
      <c r="G4" s="285"/>
      <c r="H4" s="337" t="s">
        <v>315</v>
      </c>
      <c r="I4" s="338" t="s">
        <v>254</v>
      </c>
      <c r="J4" s="285"/>
      <c r="K4" s="337" t="s">
        <v>315</v>
      </c>
      <c r="L4" s="338" t="s">
        <v>254</v>
      </c>
      <c r="M4" s="285"/>
      <c r="N4" s="337" t="s">
        <v>315</v>
      </c>
      <c r="O4" s="338" t="s">
        <v>254</v>
      </c>
      <c r="P4" s="311"/>
      <c r="Q4" s="337" t="s">
        <v>315</v>
      </c>
      <c r="R4" s="338" t="s">
        <v>254</v>
      </c>
      <c r="S4" s="827"/>
    </row>
    <row r="5" spans="1:19" s="19" customFormat="1" ht="20.25" customHeight="1" x14ac:dyDescent="0.25">
      <c r="A5" s="628" t="s">
        <v>76</v>
      </c>
      <c r="B5" s="575">
        <f>'8'!I5</f>
        <v>1591590</v>
      </c>
      <c r="C5" s="411">
        <f>B5/11116055*100</f>
        <v>14.317939232938304</v>
      </c>
      <c r="D5" s="312"/>
      <c r="E5" s="575">
        <f>'9'!I5</f>
        <v>227625</v>
      </c>
      <c r="F5" s="576">
        <f>E5/6449838*100</f>
        <v>3.5291584067692865</v>
      </c>
      <c r="G5" s="255"/>
      <c r="H5" s="610">
        <v>0</v>
      </c>
      <c r="I5" s="577">
        <f>H5/7730*100</f>
        <v>0</v>
      </c>
      <c r="J5" s="578"/>
      <c r="K5" s="575">
        <f>'11'!J5</f>
        <v>8975</v>
      </c>
      <c r="L5" s="577">
        <f>K5/79201*100</f>
        <v>11.331927627176425</v>
      </c>
      <c r="M5" s="578"/>
      <c r="N5" s="610">
        <v>0</v>
      </c>
      <c r="O5" s="552">
        <f>N5/3362*100</f>
        <v>0</v>
      </c>
      <c r="P5" s="282"/>
      <c r="Q5" s="579">
        <f>B5+E5+H5+K5+N5</f>
        <v>1828190</v>
      </c>
      <c r="R5" s="580">
        <f>Q5/17656186*100</f>
        <v>10.354387974843492</v>
      </c>
      <c r="S5" s="282">
        <v>0</v>
      </c>
    </row>
    <row r="6" spans="1:19" s="19" customFormat="1" ht="20.25" customHeight="1" x14ac:dyDescent="0.25">
      <c r="A6" s="628" t="s">
        <v>77</v>
      </c>
      <c r="B6" s="575">
        <f>'8'!I6</f>
        <v>376879</v>
      </c>
      <c r="C6" s="411">
        <f t="shared" ref="C6:C21" si="0">B6/11116055*100</f>
        <v>3.3904024404341286</v>
      </c>
      <c r="D6" s="312"/>
      <c r="E6" s="575">
        <f>'9'!I6</f>
        <v>110586</v>
      </c>
      <c r="F6" s="576">
        <f t="shared" ref="F6:F21" si="1">E6/6449838*100</f>
        <v>1.7145546911410798</v>
      </c>
      <c r="G6" s="255"/>
      <c r="H6" s="575">
        <f>'10'!J6</f>
        <v>2970</v>
      </c>
      <c r="I6" s="577">
        <f t="shared" ref="I6:I21" si="2">H6/7730*100</f>
        <v>38.421733505821479</v>
      </c>
      <c r="J6" s="578"/>
      <c r="K6" s="575">
        <f>'11'!J6</f>
        <v>60015</v>
      </c>
      <c r="L6" s="577">
        <f t="shared" ref="L6:L21" si="3">K6/79201*100</f>
        <v>75.775558389414272</v>
      </c>
      <c r="M6" s="578"/>
      <c r="N6" s="610">
        <v>0</v>
      </c>
      <c r="O6" s="552">
        <f t="shared" ref="O6:O21" si="4">N6/3362*100</f>
        <v>0</v>
      </c>
      <c r="P6" s="282"/>
      <c r="Q6" s="579">
        <f t="shared" ref="Q6:Q20" si="5">B6+E6+H6+K6+N6</f>
        <v>550450</v>
      </c>
      <c r="R6" s="580">
        <f t="shared" ref="R6:R21" si="6">Q6/17656186*100</f>
        <v>3.117604220979548</v>
      </c>
      <c r="S6" s="282">
        <v>0</v>
      </c>
    </row>
    <row r="7" spans="1:19" s="19" customFormat="1" ht="20.25" customHeight="1" x14ac:dyDescent="0.25">
      <c r="A7" s="253" t="s">
        <v>78</v>
      </c>
      <c r="B7" s="575">
        <f>'8'!I7</f>
        <v>406385</v>
      </c>
      <c r="C7" s="411">
        <f t="shared" si="0"/>
        <v>3.6558383347329602</v>
      </c>
      <c r="D7" s="312"/>
      <c r="E7" s="575">
        <f>'9'!I7</f>
        <v>108294</v>
      </c>
      <c r="F7" s="576">
        <f t="shared" si="1"/>
        <v>1.6790189148936763</v>
      </c>
      <c r="G7" s="255"/>
      <c r="H7" s="575">
        <v>50</v>
      </c>
      <c r="I7" s="577">
        <f t="shared" si="2"/>
        <v>0.646830530401035</v>
      </c>
      <c r="J7" s="342"/>
      <c r="K7" s="575">
        <f>'11'!J7</f>
        <v>245</v>
      </c>
      <c r="L7" s="577">
        <f t="shared" si="3"/>
        <v>0.30933952854130631</v>
      </c>
      <c r="M7" s="342"/>
      <c r="N7" s="575">
        <f>'12'!I7</f>
        <v>37</v>
      </c>
      <c r="O7" s="552">
        <f t="shared" si="4"/>
        <v>1.1005353955978583</v>
      </c>
      <c r="P7" s="282"/>
      <c r="Q7" s="579">
        <f t="shared" si="5"/>
        <v>515011</v>
      </c>
      <c r="R7" s="580">
        <f t="shared" si="6"/>
        <v>2.9168870332471579</v>
      </c>
      <c r="S7" s="282">
        <v>0</v>
      </c>
    </row>
    <row r="8" spans="1:19" s="19" customFormat="1" ht="20.25" customHeight="1" x14ac:dyDescent="0.25">
      <c r="A8" s="253" t="s">
        <v>336</v>
      </c>
      <c r="B8" s="575">
        <f>'8'!I8</f>
        <v>327600</v>
      </c>
      <c r="C8" s="411">
        <f t="shared" si="0"/>
        <v>2.9470886928861004</v>
      </c>
      <c r="D8" s="312"/>
      <c r="E8" s="575">
        <f>'9'!I8</f>
        <v>555840</v>
      </c>
      <c r="F8" s="576">
        <f t="shared" si="1"/>
        <v>8.6178908679566835</v>
      </c>
      <c r="G8" s="255"/>
      <c r="H8" s="575">
        <f>'10'!J8</f>
        <v>900</v>
      </c>
      <c r="I8" s="577">
        <f t="shared" si="2"/>
        <v>11.642949547218628</v>
      </c>
      <c r="J8" s="578"/>
      <c r="K8" s="610">
        <v>0</v>
      </c>
      <c r="L8" s="577">
        <f t="shared" si="3"/>
        <v>0</v>
      </c>
      <c r="M8" s="578"/>
      <c r="N8" s="610">
        <v>0</v>
      </c>
      <c r="O8" s="552">
        <f t="shared" si="4"/>
        <v>0</v>
      </c>
      <c r="P8" s="282"/>
      <c r="Q8" s="579">
        <f t="shared" si="5"/>
        <v>884340</v>
      </c>
      <c r="R8" s="580">
        <f t="shared" si="6"/>
        <v>5.0086694827523903</v>
      </c>
      <c r="S8" s="282">
        <v>0</v>
      </c>
    </row>
    <row r="9" spans="1:19" s="19" customFormat="1" ht="20.25" customHeight="1" x14ac:dyDescent="0.25">
      <c r="A9" s="283" t="s">
        <v>89</v>
      </c>
      <c r="B9" s="575">
        <v>4000000</v>
      </c>
      <c r="C9" s="411">
        <f t="shared" si="0"/>
        <v>35.983988924128205</v>
      </c>
      <c r="D9" s="312"/>
      <c r="E9" s="575">
        <v>250000</v>
      </c>
      <c r="F9" s="576">
        <f t="shared" si="1"/>
        <v>3.8760663446120662</v>
      </c>
      <c r="G9" s="255"/>
      <c r="H9" s="610">
        <v>0</v>
      </c>
      <c r="I9" s="577">
        <f t="shared" si="2"/>
        <v>0</v>
      </c>
      <c r="J9" s="342"/>
      <c r="K9" s="610">
        <v>0</v>
      </c>
      <c r="L9" s="577">
        <f t="shared" si="3"/>
        <v>0</v>
      </c>
      <c r="M9" s="342"/>
      <c r="N9" s="610">
        <v>0</v>
      </c>
      <c r="O9" s="552">
        <f t="shared" si="4"/>
        <v>0</v>
      </c>
      <c r="P9" s="282"/>
      <c r="Q9" s="579">
        <f t="shared" si="5"/>
        <v>4250000</v>
      </c>
      <c r="R9" s="580">
        <f t="shared" si="6"/>
        <v>24.070883711805031</v>
      </c>
      <c r="S9" s="282">
        <v>0</v>
      </c>
    </row>
    <row r="10" spans="1:19" s="19" customFormat="1" ht="20.25" customHeight="1" x14ac:dyDescent="0.25">
      <c r="A10" s="283" t="s">
        <v>80</v>
      </c>
      <c r="B10" s="575">
        <f>'8'!I10</f>
        <v>479160</v>
      </c>
      <c r="C10" s="411">
        <f t="shared" si="0"/>
        <v>4.3105220332213179</v>
      </c>
      <c r="D10" s="312"/>
      <c r="E10" s="575">
        <f>'9'!I10</f>
        <v>125866</v>
      </c>
      <c r="F10" s="576">
        <f t="shared" si="1"/>
        <v>1.9514598661237694</v>
      </c>
      <c r="G10" s="255"/>
      <c r="H10" s="610">
        <v>0</v>
      </c>
      <c r="I10" s="577">
        <f t="shared" si="2"/>
        <v>0</v>
      </c>
      <c r="J10" s="342"/>
      <c r="K10" s="610">
        <f>'11'!J10</f>
        <v>0</v>
      </c>
      <c r="L10" s="577">
        <f t="shared" si="3"/>
        <v>0</v>
      </c>
      <c r="M10" s="342"/>
      <c r="N10" s="575">
        <f>'12'!I10</f>
        <v>35</v>
      </c>
      <c r="O10" s="552">
        <f t="shared" si="4"/>
        <v>1.0410469958358122</v>
      </c>
      <c r="P10" s="282"/>
      <c r="Q10" s="579">
        <f t="shared" si="5"/>
        <v>605061</v>
      </c>
      <c r="R10" s="580">
        <f t="shared" si="6"/>
        <v>3.4269065810702264</v>
      </c>
      <c r="S10" s="282">
        <v>63</v>
      </c>
    </row>
    <row r="11" spans="1:19" s="19" customFormat="1" ht="20.25" customHeight="1" x14ac:dyDescent="0.25">
      <c r="A11" s="283" t="s">
        <v>82</v>
      </c>
      <c r="B11" s="575">
        <f>'8'!I11</f>
        <v>476916</v>
      </c>
      <c r="C11" s="411">
        <f t="shared" si="0"/>
        <v>4.2903350154348825</v>
      </c>
      <c r="D11" s="312"/>
      <c r="E11" s="575">
        <f>'9'!I11</f>
        <v>561449</v>
      </c>
      <c r="F11" s="576">
        <f t="shared" si="1"/>
        <v>8.7048542924643986</v>
      </c>
      <c r="G11" s="255"/>
      <c r="H11" s="575">
        <f>'10'!J11</f>
        <v>449</v>
      </c>
      <c r="I11" s="577">
        <f t="shared" si="2"/>
        <v>5.8085381630012938</v>
      </c>
      <c r="J11" s="342"/>
      <c r="K11" s="575">
        <f>'11'!J11</f>
        <v>449</v>
      </c>
      <c r="L11" s="577">
        <f t="shared" si="3"/>
        <v>0.56691203393896539</v>
      </c>
      <c r="M11" s="342"/>
      <c r="N11" s="575">
        <f>'12'!I11</f>
        <v>1835</v>
      </c>
      <c r="O11" s="552">
        <f t="shared" si="4"/>
        <v>54.580606781677574</v>
      </c>
      <c r="P11" s="282"/>
      <c r="Q11" s="579">
        <f t="shared" si="5"/>
        <v>1041098</v>
      </c>
      <c r="R11" s="580">
        <f t="shared" si="6"/>
        <v>5.896505621315951</v>
      </c>
      <c r="S11" s="282">
        <v>0</v>
      </c>
    </row>
    <row r="12" spans="1:19" s="19" customFormat="1" ht="20.25" customHeight="1" x14ac:dyDescent="0.25">
      <c r="A12" s="283" t="s">
        <v>74</v>
      </c>
      <c r="B12" s="575">
        <f>'8'!I12</f>
        <v>619520</v>
      </c>
      <c r="C12" s="411">
        <f t="shared" si="0"/>
        <v>5.5732002045689768</v>
      </c>
      <c r="D12" s="312"/>
      <c r="E12" s="575">
        <f>'9'!I12</f>
        <v>119116</v>
      </c>
      <c r="F12" s="576">
        <f t="shared" si="1"/>
        <v>1.8468060748192436</v>
      </c>
      <c r="G12" s="255"/>
      <c r="H12" s="610">
        <v>0</v>
      </c>
      <c r="I12" s="577">
        <f t="shared" si="2"/>
        <v>0</v>
      </c>
      <c r="J12" s="342"/>
      <c r="K12" s="610">
        <v>0</v>
      </c>
      <c r="L12" s="577">
        <f t="shared" si="3"/>
        <v>0</v>
      </c>
      <c r="M12" s="342"/>
      <c r="N12" s="610">
        <v>0</v>
      </c>
      <c r="O12" s="552">
        <f t="shared" si="4"/>
        <v>0</v>
      </c>
      <c r="P12" s="282"/>
      <c r="Q12" s="579">
        <f t="shared" si="5"/>
        <v>738636</v>
      </c>
      <c r="R12" s="580">
        <f t="shared" si="6"/>
        <v>4.1834402967888993</v>
      </c>
      <c r="S12" s="282">
        <v>0</v>
      </c>
    </row>
    <row r="13" spans="1:19" s="19" customFormat="1" ht="20.25" customHeight="1" x14ac:dyDescent="0.25">
      <c r="A13" s="283" t="s">
        <v>81</v>
      </c>
      <c r="B13" s="575">
        <f>'8'!I13</f>
        <v>336000</v>
      </c>
      <c r="C13" s="411">
        <f t="shared" si="0"/>
        <v>3.0226550696267696</v>
      </c>
      <c r="D13" s="312"/>
      <c r="E13" s="575">
        <f>'9'!I13</f>
        <v>504000</v>
      </c>
      <c r="F13" s="576">
        <f t="shared" si="1"/>
        <v>7.8141497507379256</v>
      </c>
      <c r="G13" s="255"/>
      <c r="H13" s="575">
        <v>500</v>
      </c>
      <c r="I13" s="577">
        <f t="shared" si="2"/>
        <v>6.4683053040103493</v>
      </c>
      <c r="J13" s="342"/>
      <c r="K13" s="610">
        <f>'11'!J13</f>
        <v>446</v>
      </c>
      <c r="L13" s="577">
        <f t="shared" si="3"/>
        <v>0.56312420297723509</v>
      </c>
      <c r="M13" s="342"/>
      <c r="N13" s="575">
        <f>'12'!I13</f>
        <v>446</v>
      </c>
      <c r="O13" s="552">
        <f t="shared" si="4"/>
        <v>13.265913146936349</v>
      </c>
      <c r="P13" s="282"/>
      <c r="Q13" s="579">
        <f t="shared" si="5"/>
        <v>841392</v>
      </c>
      <c r="R13" s="580">
        <f t="shared" si="6"/>
        <v>4.7654232913042485</v>
      </c>
      <c r="S13" s="282">
        <v>235</v>
      </c>
    </row>
    <row r="14" spans="1:19" s="19" customFormat="1" ht="20.25" customHeight="1" x14ac:dyDescent="0.25">
      <c r="A14" s="283" t="s">
        <v>79</v>
      </c>
      <c r="B14" s="575">
        <f>'8'!I14</f>
        <v>510813</v>
      </c>
      <c r="C14" s="411">
        <f t="shared" si="0"/>
        <v>4.5952723335751759</v>
      </c>
      <c r="D14" s="312"/>
      <c r="E14" s="575">
        <f>'9'!I14</f>
        <v>409090</v>
      </c>
      <c r="F14" s="576">
        <f t="shared" si="1"/>
        <v>6.3426399236694007</v>
      </c>
      <c r="G14" s="255"/>
      <c r="H14" s="575">
        <f>'10'!J14</f>
        <v>61</v>
      </c>
      <c r="I14" s="577">
        <f t="shared" si="2"/>
        <v>0.78913324708926258</v>
      </c>
      <c r="J14" s="342"/>
      <c r="K14" s="575">
        <f>'11'!J14</f>
        <v>7276</v>
      </c>
      <c r="L14" s="577">
        <f t="shared" si="3"/>
        <v>9.1867526925165084</v>
      </c>
      <c r="M14" s="342"/>
      <c r="N14" s="575">
        <f>'12'!I14</f>
        <v>25</v>
      </c>
      <c r="O14" s="552">
        <f t="shared" si="4"/>
        <v>0.74360499702558003</v>
      </c>
      <c r="P14" s="282"/>
      <c r="Q14" s="579">
        <f t="shared" si="5"/>
        <v>927265</v>
      </c>
      <c r="R14" s="580">
        <f t="shared" si="6"/>
        <v>5.2517854082416218</v>
      </c>
      <c r="S14" s="282">
        <v>0</v>
      </c>
    </row>
    <row r="15" spans="1:19" s="19" customFormat="1" ht="20.25" customHeight="1" x14ac:dyDescent="0.25">
      <c r="A15" s="283" t="s">
        <v>83</v>
      </c>
      <c r="B15" s="575">
        <f>'8'!I15</f>
        <v>400000</v>
      </c>
      <c r="C15" s="411">
        <f t="shared" si="0"/>
        <v>3.5983988924128205</v>
      </c>
      <c r="D15" s="312"/>
      <c r="E15" s="575">
        <f>'9'!I15</f>
        <v>418200</v>
      </c>
      <c r="F15" s="576">
        <f t="shared" si="1"/>
        <v>6.4838837812670649</v>
      </c>
      <c r="G15" s="255"/>
      <c r="H15" s="575">
        <f>'10'!I15</f>
        <v>1650</v>
      </c>
      <c r="I15" s="577">
        <f t="shared" si="2"/>
        <v>21.345407503234153</v>
      </c>
      <c r="J15" s="342"/>
      <c r="K15" s="575">
        <f>'11'!J15</f>
        <v>220</v>
      </c>
      <c r="L15" s="577">
        <f t="shared" si="3"/>
        <v>0.2777742705268873</v>
      </c>
      <c r="M15" s="342"/>
      <c r="N15" s="575">
        <f>'12'!I15</f>
        <v>240</v>
      </c>
      <c r="O15" s="552">
        <f t="shared" si="4"/>
        <v>7.1386079714455679</v>
      </c>
      <c r="P15" s="282"/>
      <c r="Q15" s="579">
        <f t="shared" si="5"/>
        <v>820310</v>
      </c>
      <c r="R15" s="580">
        <f t="shared" si="6"/>
        <v>4.6460203806190075</v>
      </c>
      <c r="S15" s="282">
        <v>1550</v>
      </c>
    </row>
    <row r="16" spans="1:19" s="19" customFormat="1" ht="20.25" customHeight="1" x14ac:dyDescent="0.25">
      <c r="A16" s="283" t="s">
        <v>84</v>
      </c>
      <c r="B16" s="575">
        <f>'8'!I16</f>
        <v>439750</v>
      </c>
      <c r="C16" s="411">
        <f t="shared" si="0"/>
        <v>3.9559897823463448</v>
      </c>
      <c r="D16" s="312"/>
      <c r="E16" s="575">
        <f>'9'!I16</f>
        <v>215520</v>
      </c>
      <c r="F16" s="576">
        <f t="shared" si="1"/>
        <v>3.3414792743631705</v>
      </c>
      <c r="G16" s="255"/>
      <c r="H16" s="575">
        <f>'10'!J16</f>
        <v>200</v>
      </c>
      <c r="I16" s="577">
        <f t="shared" si="2"/>
        <v>2.58732212160414</v>
      </c>
      <c r="J16" s="342"/>
      <c r="K16" s="575">
        <f>'11'!J16</f>
        <v>175</v>
      </c>
      <c r="L16" s="577">
        <f t="shared" si="3"/>
        <v>0.22095680610093307</v>
      </c>
      <c r="M16" s="342"/>
      <c r="N16" s="575">
        <f>'12'!I16</f>
        <v>620</v>
      </c>
      <c r="O16" s="552">
        <f t="shared" si="4"/>
        <v>18.441403926234383</v>
      </c>
      <c r="P16" s="282"/>
      <c r="Q16" s="579">
        <f t="shared" si="5"/>
        <v>656265</v>
      </c>
      <c r="R16" s="580">
        <f t="shared" si="6"/>
        <v>3.7169125880300538</v>
      </c>
      <c r="S16" s="282">
        <v>0</v>
      </c>
    </row>
    <row r="17" spans="1:19" s="19" customFormat="1" ht="20.25" customHeight="1" x14ac:dyDescent="0.25">
      <c r="A17" s="283" t="s">
        <v>85</v>
      </c>
      <c r="B17" s="575">
        <f>'8'!I17</f>
        <v>161450</v>
      </c>
      <c r="C17" s="411">
        <f t="shared" si="0"/>
        <v>1.4524037529501248</v>
      </c>
      <c r="D17" s="312"/>
      <c r="E17" s="575">
        <f>'9'!I17</f>
        <v>130000</v>
      </c>
      <c r="F17" s="576">
        <f t="shared" si="1"/>
        <v>2.0155544991982746</v>
      </c>
      <c r="G17" s="255"/>
      <c r="H17" s="575">
        <f>'10'!I17</f>
        <v>200</v>
      </c>
      <c r="I17" s="577">
        <f t="shared" si="2"/>
        <v>2.58732212160414</v>
      </c>
      <c r="J17" s="342"/>
      <c r="K17" s="575">
        <f>'11'!J17</f>
        <v>1400</v>
      </c>
      <c r="L17" s="577">
        <f t="shared" si="3"/>
        <v>1.7676544488074646</v>
      </c>
      <c r="M17" s="342"/>
      <c r="N17" s="610">
        <v>0</v>
      </c>
      <c r="O17" s="552">
        <f t="shared" si="4"/>
        <v>0</v>
      </c>
      <c r="P17" s="282"/>
      <c r="Q17" s="579">
        <f t="shared" si="5"/>
        <v>293050</v>
      </c>
      <c r="R17" s="580">
        <f t="shared" si="6"/>
        <v>1.6597582286457562</v>
      </c>
      <c r="S17" s="282">
        <v>1000</v>
      </c>
    </row>
    <row r="18" spans="1:19" s="19" customFormat="1" ht="20.25" customHeight="1" x14ac:dyDescent="0.25">
      <c r="A18" s="283" t="s">
        <v>86</v>
      </c>
      <c r="B18" s="575">
        <f>'8'!I18</f>
        <v>423276</v>
      </c>
      <c r="C18" s="411">
        <f t="shared" si="0"/>
        <v>3.8077897239623231</v>
      </c>
      <c r="D18" s="312"/>
      <c r="E18" s="575">
        <f>'9'!I18</f>
        <v>477612</v>
      </c>
      <c r="F18" s="576">
        <f t="shared" si="1"/>
        <v>7.4050231959314328</v>
      </c>
      <c r="G18" s="255"/>
      <c r="H18" s="575">
        <f>'10'!H18</f>
        <v>750</v>
      </c>
      <c r="I18" s="577">
        <f t="shared" si="2"/>
        <v>9.7024579560155235</v>
      </c>
      <c r="J18" s="342"/>
      <c r="K18" s="610">
        <v>0</v>
      </c>
      <c r="L18" s="577">
        <f t="shared" si="3"/>
        <v>0</v>
      </c>
      <c r="M18" s="342"/>
      <c r="N18" s="575">
        <f>'12'!I18</f>
        <v>124</v>
      </c>
      <c r="O18" s="552">
        <f t="shared" si="4"/>
        <v>3.6882807852468766</v>
      </c>
      <c r="P18" s="282"/>
      <c r="Q18" s="579">
        <f t="shared" si="5"/>
        <v>901762</v>
      </c>
      <c r="R18" s="580">
        <f t="shared" si="6"/>
        <v>5.1073431147587591</v>
      </c>
      <c r="S18" s="282">
        <v>1500</v>
      </c>
    </row>
    <row r="19" spans="1:19" s="19" customFormat="1" ht="20.25" customHeight="1" x14ac:dyDescent="0.25">
      <c r="A19" s="283" t="s">
        <v>87</v>
      </c>
      <c r="B19" s="575">
        <f>'8'!I19</f>
        <v>165825</v>
      </c>
      <c r="C19" s="411">
        <f t="shared" si="0"/>
        <v>1.49176124083589</v>
      </c>
      <c r="D19" s="312"/>
      <c r="E19" s="575">
        <f>'9'!I19</f>
        <v>600000</v>
      </c>
      <c r="F19" s="576">
        <f t="shared" si="1"/>
        <v>9.3025592270689579</v>
      </c>
      <c r="G19" s="255"/>
      <c r="H19" s="610">
        <v>0</v>
      </c>
      <c r="I19" s="577">
        <f t="shared" si="2"/>
        <v>0</v>
      </c>
      <c r="J19" s="342"/>
      <c r="K19" s="610">
        <v>0</v>
      </c>
      <c r="L19" s="577">
        <f t="shared" si="3"/>
        <v>0</v>
      </c>
      <c r="M19" s="342"/>
      <c r="N19" s="610">
        <v>0</v>
      </c>
      <c r="O19" s="552">
        <f t="shared" si="4"/>
        <v>0</v>
      </c>
      <c r="P19" s="282"/>
      <c r="Q19" s="579">
        <f t="shared" si="5"/>
        <v>765825</v>
      </c>
      <c r="R19" s="580">
        <f t="shared" si="6"/>
        <v>4.3374316514336675</v>
      </c>
      <c r="S19" s="282">
        <v>7950</v>
      </c>
    </row>
    <row r="20" spans="1:19" s="19" customFormat="1" ht="20.25" customHeight="1" thickBot="1" x14ac:dyDescent="0.3">
      <c r="A20" s="283" t="s">
        <v>88</v>
      </c>
      <c r="B20" s="575">
        <f>'8'!I20</f>
        <v>400891</v>
      </c>
      <c r="C20" s="411">
        <f t="shared" si="0"/>
        <v>3.6064143259456705</v>
      </c>
      <c r="D20" s="393"/>
      <c r="E20" s="575">
        <f>'9'!I20</f>
        <v>1636640</v>
      </c>
      <c r="F20" s="576">
        <f t="shared" si="1"/>
        <v>25.374900888983571</v>
      </c>
      <c r="G20" s="251"/>
      <c r="H20" s="610">
        <v>0</v>
      </c>
      <c r="I20" s="577">
        <f t="shared" si="2"/>
        <v>0</v>
      </c>
      <c r="J20" s="378"/>
      <c r="K20" s="610">
        <v>0</v>
      </c>
      <c r="L20" s="577">
        <f t="shared" si="3"/>
        <v>0</v>
      </c>
      <c r="M20" s="378"/>
      <c r="N20" s="610">
        <v>0</v>
      </c>
      <c r="O20" s="552">
        <f t="shared" si="4"/>
        <v>0</v>
      </c>
      <c r="P20" s="647"/>
      <c r="Q20" s="579">
        <f t="shared" si="5"/>
        <v>2037531</v>
      </c>
      <c r="R20" s="580">
        <f t="shared" si="6"/>
        <v>11.540040414164192</v>
      </c>
      <c r="S20" s="282">
        <v>10534</v>
      </c>
    </row>
    <row r="21" spans="1:19" ht="20.25" customHeight="1" thickTop="1" thickBot="1" x14ac:dyDescent="0.3">
      <c r="A21" s="265" t="s">
        <v>313</v>
      </c>
      <c r="B21" s="287">
        <f>SUM(B5:B20)</f>
        <v>11116055</v>
      </c>
      <c r="C21" s="377">
        <f t="shared" si="0"/>
        <v>100</v>
      </c>
      <c r="D21" s="313"/>
      <c r="E21" s="287">
        <f>SUM(E5:E20)</f>
        <v>6449838</v>
      </c>
      <c r="F21" s="377">
        <f t="shared" si="1"/>
        <v>100</v>
      </c>
      <c r="G21" s="268"/>
      <c r="H21" s="287">
        <f>SUM(H5:H20)</f>
        <v>7730</v>
      </c>
      <c r="I21" s="377">
        <f t="shared" si="2"/>
        <v>100</v>
      </c>
      <c r="J21" s="268"/>
      <c r="K21" s="287">
        <f>SUM(K5:K20)</f>
        <v>79201</v>
      </c>
      <c r="L21" s="377">
        <f t="shared" si="3"/>
        <v>100</v>
      </c>
      <c r="M21" s="268"/>
      <c r="N21" s="287">
        <f>SUM(N5:N20)</f>
        <v>3362</v>
      </c>
      <c r="O21" s="377">
        <f t="shared" si="4"/>
        <v>100</v>
      </c>
      <c r="P21" s="284"/>
      <c r="Q21" s="287">
        <f>SUM(Q5:Q20)</f>
        <v>17656186</v>
      </c>
      <c r="R21" s="377">
        <f t="shared" si="6"/>
        <v>100</v>
      </c>
      <c r="S21" s="287">
        <v>22832</v>
      </c>
    </row>
    <row r="22" spans="1:19" s="246" customFormat="1" ht="17.25" customHeight="1" thickTop="1" x14ac:dyDescent="0.2">
      <c r="A22" s="817" t="s">
        <v>326</v>
      </c>
      <c r="B22" s="817"/>
      <c r="C22" s="817"/>
      <c r="D22" s="817"/>
      <c r="E22" s="817"/>
      <c r="F22" s="817"/>
      <c r="G22" s="817"/>
      <c r="H22" s="817"/>
      <c r="I22" s="817"/>
      <c r="J22" s="817"/>
      <c r="K22" s="817"/>
      <c r="L22" s="466"/>
      <c r="M22" s="466"/>
      <c r="N22" s="466"/>
      <c r="O22" s="466"/>
      <c r="P22" s="466"/>
      <c r="Q22" s="466"/>
    </row>
    <row r="23" spans="1:19" s="246" customFormat="1" ht="17.25" customHeight="1" x14ac:dyDescent="0.2">
      <c r="A23" s="815" t="s">
        <v>327</v>
      </c>
      <c r="B23" s="815"/>
      <c r="C23" s="815"/>
      <c r="D23" s="815"/>
      <c r="E23" s="815"/>
      <c r="F23" s="815"/>
      <c r="G23" s="815"/>
      <c r="H23" s="815"/>
      <c r="I23" s="815"/>
      <c r="J23" s="815"/>
      <c r="K23" s="815"/>
      <c r="L23" s="815"/>
      <c r="M23" s="815"/>
      <c r="N23" s="815"/>
      <c r="O23" s="815"/>
      <c r="P23" s="815"/>
      <c r="Q23" s="815"/>
      <c r="R23" s="248"/>
    </row>
    <row r="24" spans="1:19" s="246" customFormat="1" ht="17.25" customHeight="1" thickBot="1" x14ac:dyDescent="0.25">
      <c r="A24" s="816"/>
      <c r="B24" s="816"/>
      <c r="C24" s="816"/>
      <c r="D24" s="816"/>
      <c r="E24" s="816"/>
      <c r="F24" s="816"/>
      <c r="G24" s="816"/>
      <c r="H24" s="816"/>
      <c r="I24" s="816"/>
      <c r="J24" s="816"/>
      <c r="K24" s="816"/>
      <c r="L24" s="816"/>
      <c r="M24" s="816"/>
      <c r="N24" s="816"/>
      <c r="O24" s="816"/>
      <c r="P24" s="816"/>
      <c r="Q24" s="816"/>
      <c r="R24" s="248"/>
    </row>
    <row r="25" spans="1:19" ht="17.25" customHeight="1" x14ac:dyDescent="0.25">
      <c r="A25" s="825" t="s">
        <v>255</v>
      </c>
      <c r="B25" s="825"/>
      <c r="C25" s="825"/>
      <c r="D25" s="825"/>
      <c r="E25" s="825"/>
      <c r="F25" s="341"/>
      <c r="G25" s="341"/>
      <c r="H25" s="341"/>
      <c r="I25" s="341"/>
      <c r="J25" s="825"/>
      <c r="K25" s="825"/>
      <c r="L25" s="825"/>
      <c r="M25" s="825"/>
      <c r="N25" s="825"/>
      <c r="O25" s="825"/>
      <c r="P25" s="825"/>
      <c r="Q25" s="322"/>
      <c r="R25" s="336"/>
      <c r="S25" s="336">
        <v>28</v>
      </c>
    </row>
    <row r="31" spans="1:19" x14ac:dyDescent="0.25">
      <c r="O31">
        <v>16685776</v>
      </c>
    </row>
  </sheetData>
  <mergeCells count="14">
    <mergeCell ref="S3:S4"/>
    <mergeCell ref="A1:S1"/>
    <mergeCell ref="A25:E25"/>
    <mergeCell ref="J25:P25"/>
    <mergeCell ref="A3:A4"/>
    <mergeCell ref="B3:C3"/>
    <mergeCell ref="E3:F3"/>
    <mergeCell ref="H3:I3"/>
    <mergeCell ref="N3:O3"/>
    <mergeCell ref="Q3:R3"/>
    <mergeCell ref="A23:Q23"/>
    <mergeCell ref="A24:Q24"/>
    <mergeCell ref="K3:L3"/>
    <mergeCell ref="A22:K2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K26"/>
  <sheetViews>
    <sheetView rightToLeft="1" tabSelected="1" view="pageBreakPreview" topLeftCell="A10" zoomScale="90" zoomScaleNormal="110" zoomScaleSheetLayoutView="90" workbookViewId="0">
      <selection activeCell="Q5" sqref="Q5:Q21"/>
    </sheetView>
  </sheetViews>
  <sheetFormatPr defaultRowHeight="15" x14ac:dyDescent="0.25"/>
  <cols>
    <col min="1" max="1" width="10" customWidth="1"/>
    <col min="2" max="2" width="11.7109375" customWidth="1"/>
    <col min="3" max="3" width="6.7109375" customWidth="1"/>
    <col min="4" max="4" width="1.42578125" customWidth="1"/>
    <col min="5" max="5" width="11.7109375" customWidth="1"/>
    <col min="6" max="6" width="6.7109375" customWidth="1"/>
    <col min="7" max="7" width="1.5703125" customWidth="1"/>
    <col min="8" max="8" width="11.7109375" customWidth="1"/>
    <col min="9" max="9" width="6.7109375" customWidth="1"/>
    <col min="10" max="10" width="1.42578125" customWidth="1"/>
    <col min="11" max="11" width="11.7109375" customWidth="1"/>
    <col min="12" max="12" width="6.140625" customWidth="1"/>
    <col min="13" max="13" width="1.42578125" customWidth="1"/>
    <col min="14" max="14" width="10.85546875" customWidth="1"/>
    <col min="15" max="15" width="6.7109375" customWidth="1"/>
    <col min="16" max="16" width="1.42578125" customWidth="1"/>
    <col min="17" max="17" width="12.140625" customWidth="1"/>
    <col min="18" max="18" width="9.28515625" customWidth="1"/>
    <col min="19" max="19" width="2" customWidth="1"/>
    <col min="20" max="20" width="11.7109375" customWidth="1"/>
    <col min="21" max="21" width="6.7109375" customWidth="1"/>
  </cols>
  <sheetData>
    <row r="1" spans="1:37" ht="22.5" customHeight="1" x14ac:dyDescent="0.25">
      <c r="A1" s="829" t="s">
        <v>441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</row>
    <row r="2" spans="1:37" ht="22.5" customHeight="1" thickBot="1" x14ac:dyDescent="0.3">
      <c r="A2" s="280" t="s">
        <v>474</v>
      </c>
      <c r="B2" s="281"/>
      <c r="C2" s="281"/>
      <c r="D2" s="281"/>
      <c r="E2" s="281"/>
      <c r="F2" s="281"/>
      <c r="G2" s="281"/>
      <c r="H2" s="281"/>
      <c r="I2" s="281"/>
      <c r="J2" s="280"/>
      <c r="K2" s="281"/>
      <c r="L2" s="281"/>
      <c r="M2" s="280"/>
      <c r="N2" s="281"/>
      <c r="O2" s="281"/>
      <c r="P2" s="281"/>
      <c r="Q2" s="281"/>
      <c r="R2" s="281"/>
      <c r="S2" s="281"/>
      <c r="T2" s="281"/>
    </row>
    <row r="3" spans="1:37" ht="39" customHeight="1" thickTop="1" x14ac:dyDescent="0.25">
      <c r="A3" s="826" t="s">
        <v>75</v>
      </c>
      <c r="B3" s="828" t="s">
        <v>265</v>
      </c>
      <c r="C3" s="828"/>
      <c r="D3" s="327"/>
      <c r="E3" s="828" t="s">
        <v>256</v>
      </c>
      <c r="F3" s="828"/>
      <c r="G3" s="327"/>
      <c r="H3" s="828" t="s">
        <v>261</v>
      </c>
      <c r="I3" s="828"/>
      <c r="J3" s="327"/>
      <c r="K3" s="828" t="s">
        <v>350</v>
      </c>
      <c r="L3" s="828"/>
      <c r="M3" s="428"/>
      <c r="N3" s="828" t="s">
        <v>263</v>
      </c>
      <c r="O3" s="828"/>
      <c r="P3" s="327"/>
      <c r="Q3" s="830" t="s">
        <v>322</v>
      </c>
      <c r="R3" s="830"/>
      <c r="S3" s="327"/>
      <c r="T3" s="828" t="s">
        <v>330</v>
      </c>
      <c r="U3" s="828"/>
    </row>
    <row r="4" spans="1:37" ht="29.25" customHeight="1" x14ac:dyDescent="0.25">
      <c r="A4" s="827"/>
      <c r="B4" s="337" t="s">
        <v>315</v>
      </c>
      <c r="C4" s="338" t="s">
        <v>254</v>
      </c>
      <c r="D4" s="285"/>
      <c r="E4" s="337" t="s">
        <v>315</v>
      </c>
      <c r="F4" s="338" t="s">
        <v>254</v>
      </c>
      <c r="G4" s="285"/>
      <c r="H4" s="337" t="s">
        <v>315</v>
      </c>
      <c r="I4" s="338" t="s">
        <v>254</v>
      </c>
      <c r="J4" s="285"/>
      <c r="K4" s="337" t="s">
        <v>315</v>
      </c>
      <c r="L4" s="338" t="s">
        <v>254</v>
      </c>
      <c r="M4" s="285"/>
      <c r="N4" s="337" t="s">
        <v>315</v>
      </c>
      <c r="O4" s="338" t="s">
        <v>254</v>
      </c>
      <c r="P4" s="311"/>
      <c r="Q4" s="337" t="s">
        <v>315</v>
      </c>
      <c r="R4" s="338" t="s">
        <v>254</v>
      </c>
      <c r="S4" s="311"/>
      <c r="T4" s="337" t="s">
        <v>315</v>
      </c>
      <c r="U4" s="338" t="s">
        <v>254</v>
      </c>
    </row>
    <row r="5" spans="1:37" s="19" customFormat="1" ht="21" customHeight="1" x14ac:dyDescent="0.25">
      <c r="A5" s="628" t="s">
        <v>76</v>
      </c>
      <c r="B5" s="255">
        <f>'8'!F5</f>
        <v>1515800</v>
      </c>
      <c r="C5" s="411">
        <f>B5/9707765*100</f>
        <v>15.614304631395589</v>
      </c>
      <c r="D5" s="312"/>
      <c r="E5" s="575">
        <f>'9'!F5</f>
        <v>169880</v>
      </c>
      <c r="F5" s="576">
        <f>E5/4934947*100</f>
        <v>3.442387527160879</v>
      </c>
      <c r="G5" s="255"/>
      <c r="H5" s="549">
        <v>0</v>
      </c>
      <c r="I5" s="577">
        <f>H5/16653*100</f>
        <v>0</v>
      </c>
      <c r="J5" s="578"/>
      <c r="K5" s="575">
        <f>'11'!I5</f>
        <v>8975</v>
      </c>
      <c r="L5" s="577">
        <f>K5/78301*100</f>
        <v>11.462178005389459</v>
      </c>
      <c r="M5" s="578"/>
      <c r="N5" s="342">
        <v>0</v>
      </c>
      <c r="O5" s="552">
        <f>N5/2576*100</f>
        <v>0</v>
      </c>
      <c r="P5" s="282"/>
      <c r="Q5" s="282">
        <v>0</v>
      </c>
      <c r="R5" s="581">
        <f>Q5/22832*100</f>
        <v>0</v>
      </c>
      <c r="S5" s="282"/>
      <c r="T5" s="579">
        <f>B5+E5+H5+K5+N5-Q5</f>
        <v>1694655</v>
      </c>
      <c r="U5" s="580">
        <f>T5/14717410*100</f>
        <v>11.514627913471189</v>
      </c>
      <c r="V5" s="631"/>
      <c r="W5" s="255">
        <v>0</v>
      </c>
      <c r="X5" s="411"/>
      <c r="Y5" s="312"/>
      <c r="Z5" s="575">
        <v>0</v>
      </c>
      <c r="AA5" s="576"/>
      <c r="AB5" s="255"/>
      <c r="AC5" s="549">
        <v>0</v>
      </c>
      <c r="AD5" s="577"/>
      <c r="AE5" s="578"/>
      <c r="AF5" s="549">
        <v>0</v>
      </c>
      <c r="AG5" s="577"/>
      <c r="AH5" s="578"/>
      <c r="AI5" s="342">
        <v>0</v>
      </c>
      <c r="AK5" s="611">
        <f>W5+Z5+AC5+AF5+AI5</f>
        <v>0</v>
      </c>
    </row>
    <row r="6" spans="1:37" s="19" customFormat="1" ht="21" customHeight="1" x14ac:dyDescent="0.25">
      <c r="A6" s="628" t="s">
        <v>77</v>
      </c>
      <c r="B6" s="255">
        <f>'8'!F6</f>
        <v>342372</v>
      </c>
      <c r="C6" s="411">
        <f t="shared" ref="C6:C21" si="0">B6/9707765*100</f>
        <v>3.5267850014910742</v>
      </c>
      <c r="D6" s="312"/>
      <c r="E6" s="575">
        <f>'9'!F6</f>
        <v>100533</v>
      </c>
      <c r="F6" s="576">
        <f t="shared" ref="F6:F21" si="1">E6/4934947*100</f>
        <v>2.0371647355077975</v>
      </c>
      <c r="G6" s="255"/>
      <c r="H6" s="549">
        <f>'10'!F6</f>
        <v>1485</v>
      </c>
      <c r="I6" s="577">
        <f t="shared" ref="I6:I21" si="2">H6/16653*100</f>
        <v>8.9173121960007204</v>
      </c>
      <c r="J6" s="578"/>
      <c r="K6" s="575">
        <f>'11'!I6</f>
        <v>60015</v>
      </c>
      <c r="L6" s="577">
        <f t="shared" ref="L6:L21" si="3">K6/78301*100</f>
        <v>76.646530695648835</v>
      </c>
      <c r="M6" s="578"/>
      <c r="N6" s="342">
        <f>'12'!F6</f>
        <v>0</v>
      </c>
      <c r="O6" s="552">
        <f t="shared" ref="O6:O21" si="4">N6/2576*100</f>
        <v>0</v>
      </c>
      <c r="P6" s="282"/>
      <c r="Q6" s="282">
        <v>0</v>
      </c>
      <c r="R6" s="581">
        <f t="shared" ref="R6:R21" si="5">Q6/22832*100</f>
        <v>0</v>
      </c>
      <c r="S6" s="282"/>
      <c r="T6" s="579">
        <f t="shared" ref="T6:T20" si="6">B6+E6+H6+K6+N6-Q6</f>
        <v>504405</v>
      </c>
      <c r="U6" s="580">
        <f t="shared" ref="U6:U21" si="7">T6/14717410*100</f>
        <v>3.427267433604146</v>
      </c>
      <c r="V6" s="631"/>
      <c r="W6" s="255">
        <v>312048</v>
      </c>
      <c r="X6" s="411"/>
      <c r="Y6" s="312"/>
      <c r="Z6" s="575">
        <v>20878</v>
      </c>
      <c r="AA6" s="576"/>
      <c r="AB6" s="255"/>
      <c r="AC6" s="549">
        <v>558</v>
      </c>
      <c r="AD6" s="577"/>
      <c r="AE6" s="578"/>
      <c r="AF6" s="549">
        <v>78167</v>
      </c>
      <c r="AG6" s="577"/>
      <c r="AH6" s="578"/>
      <c r="AI6" s="342">
        <v>0</v>
      </c>
      <c r="AK6" s="611">
        <f t="shared" ref="AK6:AK20" si="8">W6+Z6+AC6+AF6+AI6</f>
        <v>411651</v>
      </c>
    </row>
    <row r="7" spans="1:37" s="19" customFormat="1" ht="21" customHeight="1" x14ac:dyDescent="0.25">
      <c r="A7" s="253" t="s">
        <v>78</v>
      </c>
      <c r="B7" s="255">
        <f>'8'!F7</f>
        <v>398208</v>
      </c>
      <c r="C7" s="411">
        <f t="shared" si="0"/>
        <v>4.101953436244079</v>
      </c>
      <c r="D7" s="312"/>
      <c r="E7" s="575">
        <f>'9'!F7</f>
        <v>86635</v>
      </c>
      <c r="F7" s="576">
        <f t="shared" si="1"/>
        <v>1.7555406370119071</v>
      </c>
      <c r="G7" s="255"/>
      <c r="H7" s="549">
        <f>'10'!F7</f>
        <v>25</v>
      </c>
      <c r="I7" s="577">
        <f t="shared" si="2"/>
        <v>0.15012310094277306</v>
      </c>
      <c r="J7" s="342"/>
      <c r="K7" s="575">
        <f>'11'!I7</f>
        <v>235</v>
      </c>
      <c r="L7" s="577">
        <f t="shared" si="3"/>
        <v>0.30012388092106101</v>
      </c>
      <c r="M7" s="342"/>
      <c r="N7" s="342">
        <f>'12'!F7</f>
        <v>25</v>
      </c>
      <c r="O7" s="552">
        <f t="shared" si="4"/>
        <v>0.9704968944099378</v>
      </c>
      <c r="P7" s="282"/>
      <c r="Q7" s="282">
        <v>0</v>
      </c>
      <c r="R7" s="581">
        <f t="shared" si="5"/>
        <v>0</v>
      </c>
      <c r="S7" s="282"/>
      <c r="T7" s="579">
        <f t="shared" si="6"/>
        <v>485128</v>
      </c>
      <c r="U7" s="580">
        <f t="shared" si="7"/>
        <v>3.2962865069329452</v>
      </c>
      <c r="V7" s="342"/>
      <c r="W7" s="255">
        <v>350098</v>
      </c>
      <c r="X7" s="411"/>
      <c r="Y7" s="312"/>
      <c r="Z7" s="575">
        <v>300600</v>
      </c>
      <c r="AA7" s="576"/>
      <c r="AB7" s="255"/>
      <c r="AC7" s="549">
        <v>442</v>
      </c>
      <c r="AD7" s="577"/>
      <c r="AE7" s="342"/>
      <c r="AF7" s="549">
        <v>0</v>
      </c>
      <c r="AG7" s="577"/>
      <c r="AH7" s="342"/>
      <c r="AI7" s="342">
        <v>660</v>
      </c>
      <c r="AK7" s="611">
        <f t="shared" si="8"/>
        <v>651800</v>
      </c>
    </row>
    <row r="8" spans="1:37" s="19" customFormat="1" ht="21" customHeight="1" x14ac:dyDescent="0.25">
      <c r="A8" s="253" t="s">
        <v>336</v>
      </c>
      <c r="B8" s="255">
        <f>'8'!F8</f>
        <v>174036</v>
      </c>
      <c r="C8" s="411">
        <f t="shared" si="0"/>
        <v>1.7927504425580967</v>
      </c>
      <c r="D8" s="312"/>
      <c r="E8" s="575">
        <f>'9'!F8</f>
        <v>277920</v>
      </c>
      <c r="F8" s="576">
        <f t="shared" si="1"/>
        <v>5.6316714242321142</v>
      </c>
      <c r="G8" s="255"/>
      <c r="H8" s="549">
        <f>'10'!F8</f>
        <v>300</v>
      </c>
      <c r="I8" s="577">
        <f t="shared" si="2"/>
        <v>1.8014772113132769</v>
      </c>
      <c r="J8" s="578"/>
      <c r="K8" s="549">
        <f>'11'!I8</f>
        <v>0</v>
      </c>
      <c r="L8" s="577">
        <f t="shared" si="3"/>
        <v>0</v>
      </c>
      <c r="M8" s="578"/>
      <c r="N8" s="342">
        <f>'12'!F8</f>
        <v>0</v>
      </c>
      <c r="O8" s="552">
        <f t="shared" si="4"/>
        <v>0</v>
      </c>
      <c r="P8" s="282"/>
      <c r="Q8" s="282">
        <v>0</v>
      </c>
      <c r="R8" s="581">
        <f t="shared" si="5"/>
        <v>0</v>
      </c>
      <c r="S8" s="282"/>
      <c r="T8" s="579">
        <f t="shared" si="6"/>
        <v>452256</v>
      </c>
      <c r="U8" s="580">
        <f t="shared" si="7"/>
        <v>3.0729319900716225</v>
      </c>
      <c r="V8" s="342"/>
      <c r="W8" s="255">
        <v>0</v>
      </c>
      <c r="X8" s="411"/>
      <c r="Y8" s="312"/>
      <c r="Z8" s="575">
        <v>0</v>
      </c>
      <c r="AA8" s="576"/>
      <c r="AB8" s="255"/>
      <c r="AC8" s="549">
        <v>0</v>
      </c>
      <c r="AD8" s="577"/>
      <c r="AE8" s="578"/>
      <c r="AF8" s="549">
        <v>0</v>
      </c>
      <c r="AG8" s="577"/>
      <c r="AH8" s="578"/>
      <c r="AI8" s="342">
        <v>0</v>
      </c>
      <c r="AK8" s="611">
        <f t="shared" si="8"/>
        <v>0</v>
      </c>
    </row>
    <row r="9" spans="1:37" s="19" customFormat="1" ht="21" customHeight="1" x14ac:dyDescent="0.25">
      <c r="A9" s="283" t="s">
        <v>89</v>
      </c>
      <c r="B9" s="255">
        <v>3888000</v>
      </c>
      <c r="C9" s="411">
        <f t="shared" si="0"/>
        <v>40.050413251659883</v>
      </c>
      <c r="D9" s="312"/>
      <c r="E9" s="575">
        <v>199612</v>
      </c>
      <c r="F9" s="576">
        <f t="shared" si="1"/>
        <v>4.0448661353404605</v>
      </c>
      <c r="G9" s="255"/>
      <c r="H9" s="549">
        <v>0</v>
      </c>
      <c r="I9" s="577">
        <f t="shared" si="2"/>
        <v>0</v>
      </c>
      <c r="J9" s="342"/>
      <c r="K9" s="549">
        <v>0</v>
      </c>
      <c r="L9" s="577">
        <f t="shared" si="3"/>
        <v>0</v>
      </c>
      <c r="M9" s="342"/>
      <c r="N9" s="342">
        <v>0</v>
      </c>
      <c r="O9" s="552">
        <f t="shared" si="4"/>
        <v>0</v>
      </c>
      <c r="P9" s="282"/>
      <c r="Q9" s="282">
        <v>0</v>
      </c>
      <c r="R9" s="581">
        <f t="shared" si="5"/>
        <v>0</v>
      </c>
      <c r="S9" s="282"/>
      <c r="T9" s="579">
        <f t="shared" si="6"/>
        <v>4087612</v>
      </c>
      <c r="U9" s="580">
        <f t="shared" si="7"/>
        <v>27.773990124621111</v>
      </c>
      <c r="V9" s="342"/>
      <c r="W9" s="255">
        <v>3888000</v>
      </c>
      <c r="X9" s="411"/>
      <c r="Y9" s="312"/>
      <c r="Z9" s="575">
        <v>199612</v>
      </c>
      <c r="AA9" s="576"/>
      <c r="AB9" s="255"/>
      <c r="AC9" s="549">
        <v>0</v>
      </c>
      <c r="AD9" s="577"/>
      <c r="AE9" s="342"/>
      <c r="AF9" s="549">
        <v>0</v>
      </c>
      <c r="AG9" s="577"/>
      <c r="AH9" s="342"/>
      <c r="AI9" s="342">
        <v>0</v>
      </c>
      <c r="AK9" s="611">
        <f t="shared" si="8"/>
        <v>4087612</v>
      </c>
    </row>
    <row r="10" spans="1:37" s="19" customFormat="1" ht="21" customHeight="1" x14ac:dyDescent="0.25">
      <c r="A10" s="283" t="s">
        <v>80</v>
      </c>
      <c r="B10" s="255">
        <f>'8'!F10</f>
        <v>435600</v>
      </c>
      <c r="C10" s="411">
        <f t="shared" si="0"/>
        <v>4.4871296328248569</v>
      </c>
      <c r="E10" s="575">
        <f>'9'!F10</f>
        <v>114424</v>
      </c>
      <c r="F10" s="576">
        <f t="shared" si="1"/>
        <v>2.3186469885086911</v>
      </c>
      <c r="H10" s="549">
        <f>'10'!F10</f>
        <v>60</v>
      </c>
      <c r="I10" s="577">
        <f t="shared" si="2"/>
        <v>0.36029544226265536</v>
      </c>
      <c r="K10" s="549">
        <v>0</v>
      </c>
      <c r="L10" s="577">
        <f t="shared" si="3"/>
        <v>0</v>
      </c>
      <c r="M10" s="342"/>
      <c r="N10" s="342">
        <f>'12'!F10</f>
        <v>30</v>
      </c>
      <c r="O10" s="552">
        <f t="shared" si="4"/>
        <v>1.1645962732919255</v>
      </c>
      <c r="Q10" s="282">
        <v>63</v>
      </c>
      <c r="R10" s="581">
        <f t="shared" si="5"/>
        <v>0.27592852137351087</v>
      </c>
      <c r="T10" s="579">
        <f t="shared" si="6"/>
        <v>550051</v>
      </c>
      <c r="U10" s="580">
        <f t="shared" si="7"/>
        <v>3.7374171134730902</v>
      </c>
      <c r="V10" s="342"/>
      <c r="W10" s="255">
        <v>524000</v>
      </c>
      <c r="X10" s="411"/>
      <c r="Z10" s="575">
        <v>282894</v>
      </c>
      <c r="AA10" s="576"/>
      <c r="AC10" s="549">
        <v>0</v>
      </c>
      <c r="AD10" s="577"/>
      <c r="AF10" s="549">
        <v>0</v>
      </c>
      <c r="AG10" s="577"/>
      <c r="AH10" s="342"/>
      <c r="AI10" s="342">
        <v>174</v>
      </c>
      <c r="AK10" s="611">
        <f t="shared" si="8"/>
        <v>807068</v>
      </c>
    </row>
    <row r="11" spans="1:37" s="19" customFormat="1" ht="21" customHeight="1" x14ac:dyDescent="0.25">
      <c r="A11" s="283" t="s">
        <v>82</v>
      </c>
      <c r="B11" s="255">
        <f>'8'!F11</f>
        <v>368526</v>
      </c>
      <c r="C11" s="411">
        <f t="shared" si="0"/>
        <v>3.7961981980404347</v>
      </c>
      <c r="D11" s="312"/>
      <c r="E11" s="575">
        <f>'9'!F11</f>
        <v>433847</v>
      </c>
      <c r="F11" s="576">
        <f t="shared" si="1"/>
        <v>8.7913203525792678</v>
      </c>
      <c r="G11" s="255"/>
      <c r="H11" s="549">
        <f>'10'!F11</f>
        <v>345</v>
      </c>
      <c r="I11" s="577">
        <f t="shared" si="2"/>
        <v>2.0716987930102686</v>
      </c>
      <c r="J11" s="342"/>
      <c r="K11" s="575">
        <f>'11'!I11</f>
        <v>345</v>
      </c>
      <c r="L11" s="577">
        <f t="shared" si="3"/>
        <v>0.44060739965006829</v>
      </c>
      <c r="M11" s="342"/>
      <c r="N11" s="342">
        <f>'12'!F11</f>
        <v>1418</v>
      </c>
      <c r="O11" s="552">
        <f t="shared" si="4"/>
        <v>55.046583850931675</v>
      </c>
      <c r="P11" s="282"/>
      <c r="Q11" s="282">
        <v>0</v>
      </c>
      <c r="R11" s="581">
        <f t="shared" si="5"/>
        <v>0</v>
      </c>
      <c r="S11" s="282"/>
      <c r="T11" s="579">
        <f t="shared" si="6"/>
        <v>804481</v>
      </c>
      <c r="U11" s="580">
        <f t="shared" si="7"/>
        <v>5.4661859661448586</v>
      </c>
      <c r="V11" s="342"/>
      <c r="W11" s="255">
        <v>263976</v>
      </c>
      <c r="X11" s="411"/>
      <c r="Y11" s="312"/>
      <c r="Z11" s="575">
        <v>385835</v>
      </c>
      <c r="AA11" s="576"/>
      <c r="AB11" s="255"/>
      <c r="AC11" s="549">
        <v>153</v>
      </c>
      <c r="AD11" s="577"/>
      <c r="AE11" s="342"/>
      <c r="AF11" s="549">
        <v>0</v>
      </c>
      <c r="AG11" s="577"/>
      <c r="AH11" s="342"/>
      <c r="AI11" s="342">
        <v>1417</v>
      </c>
      <c r="AK11" s="611">
        <f t="shared" si="8"/>
        <v>651381</v>
      </c>
    </row>
    <row r="12" spans="1:37" s="19" customFormat="1" ht="21" customHeight="1" x14ac:dyDescent="0.25">
      <c r="A12" s="283" t="s">
        <v>74</v>
      </c>
      <c r="B12" s="255">
        <f>'8'!F12</f>
        <v>478720</v>
      </c>
      <c r="C12" s="411">
        <f t="shared" si="0"/>
        <v>4.9313101419327721</v>
      </c>
      <c r="D12" s="312"/>
      <c r="E12" s="575">
        <f>'9'!F12</f>
        <v>92044</v>
      </c>
      <c r="F12" s="576">
        <f t="shared" si="1"/>
        <v>1.8651466773604661</v>
      </c>
      <c r="G12" s="255"/>
      <c r="H12" s="549">
        <v>0</v>
      </c>
      <c r="I12" s="577">
        <f t="shared" si="2"/>
        <v>0</v>
      </c>
      <c r="J12" s="342"/>
      <c r="K12" s="549">
        <v>0</v>
      </c>
      <c r="L12" s="577">
        <f t="shared" si="3"/>
        <v>0</v>
      </c>
      <c r="M12" s="342"/>
      <c r="N12" s="342">
        <v>0</v>
      </c>
      <c r="O12" s="552">
        <f t="shared" si="4"/>
        <v>0</v>
      </c>
      <c r="P12" s="282"/>
      <c r="Q12" s="282">
        <v>0</v>
      </c>
      <c r="R12" s="581">
        <f t="shared" si="5"/>
        <v>0</v>
      </c>
      <c r="S12" s="282"/>
      <c r="T12" s="579">
        <f t="shared" si="6"/>
        <v>570764</v>
      </c>
      <c r="U12" s="580">
        <f t="shared" si="7"/>
        <v>3.8781551917083239</v>
      </c>
      <c r="V12" s="578"/>
      <c r="W12" s="255">
        <v>478720</v>
      </c>
      <c r="X12" s="411"/>
      <c r="Y12" s="312"/>
      <c r="Z12" s="575">
        <v>92044</v>
      </c>
      <c r="AA12" s="576"/>
      <c r="AB12" s="255"/>
      <c r="AC12" s="549">
        <v>310</v>
      </c>
      <c r="AD12" s="577"/>
      <c r="AE12" s="342"/>
      <c r="AF12" s="549">
        <v>0</v>
      </c>
      <c r="AG12" s="577"/>
      <c r="AH12" s="342"/>
      <c r="AI12" s="342">
        <v>0</v>
      </c>
      <c r="AK12" s="611">
        <f t="shared" si="8"/>
        <v>571074</v>
      </c>
    </row>
    <row r="13" spans="1:37" s="19" customFormat="1" ht="21" customHeight="1" x14ac:dyDescent="0.25">
      <c r="A13" s="283" t="s">
        <v>81</v>
      </c>
      <c r="B13" s="255">
        <f>'8'!F13</f>
        <v>320000</v>
      </c>
      <c r="C13" s="411">
        <f t="shared" si="0"/>
        <v>3.2963303087785909</v>
      </c>
      <c r="D13" s="312"/>
      <c r="E13" s="575">
        <f>'9'!F13</f>
        <v>480000</v>
      </c>
      <c r="F13" s="576">
        <f t="shared" si="1"/>
        <v>9.7265482283801639</v>
      </c>
      <c r="G13" s="255"/>
      <c r="H13" s="549">
        <f>'10'!F13</f>
        <v>700</v>
      </c>
      <c r="I13" s="577">
        <f t="shared" si="2"/>
        <v>4.2034468263976468</v>
      </c>
      <c r="J13" s="342"/>
      <c r="K13" s="549">
        <f>'11'!I13</f>
        <v>425</v>
      </c>
      <c r="L13" s="577">
        <f t="shared" si="3"/>
        <v>0.54277723145298273</v>
      </c>
      <c r="M13" s="342"/>
      <c r="N13" s="342">
        <f>'12'!F13</f>
        <v>425</v>
      </c>
      <c r="O13" s="552">
        <f t="shared" si="4"/>
        <v>16.498447204968944</v>
      </c>
      <c r="P13" s="282"/>
      <c r="Q13" s="282">
        <f>'10'!G13</f>
        <v>235</v>
      </c>
      <c r="R13" s="581">
        <f t="shared" si="5"/>
        <v>1.0292571829011914</v>
      </c>
      <c r="S13" s="282"/>
      <c r="T13" s="579">
        <f t="shared" si="6"/>
        <v>801315</v>
      </c>
      <c r="U13" s="580">
        <f t="shared" si="7"/>
        <v>5.4446740289222086</v>
      </c>
      <c r="V13" s="342"/>
      <c r="W13" s="255">
        <v>339900</v>
      </c>
      <c r="X13" s="411"/>
      <c r="Y13" s="312"/>
      <c r="Z13" s="575">
        <v>334529</v>
      </c>
      <c r="AA13" s="576"/>
      <c r="AB13" s="255"/>
      <c r="AC13" s="549">
        <v>403</v>
      </c>
      <c r="AD13" s="577"/>
      <c r="AE13" s="342"/>
      <c r="AF13" s="549">
        <v>0</v>
      </c>
      <c r="AG13" s="577"/>
      <c r="AH13" s="342"/>
      <c r="AI13" s="342">
        <v>222</v>
      </c>
      <c r="AK13" s="611">
        <f t="shared" si="8"/>
        <v>675054</v>
      </c>
    </row>
    <row r="14" spans="1:37" s="19" customFormat="1" ht="21" customHeight="1" x14ac:dyDescent="0.25">
      <c r="A14" s="283" t="s">
        <v>79</v>
      </c>
      <c r="B14" s="255">
        <f>'8'!F14</f>
        <v>283785</v>
      </c>
      <c r="C14" s="411">
        <f t="shared" si="0"/>
        <v>2.9232784271147891</v>
      </c>
      <c r="D14" s="312"/>
      <c r="E14" s="575">
        <f>'9'!F14</f>
        <v>227272</v>
      </c>
      <c r="F14" s="576">
        <f t="shared" si="1"/>
        <v>4.605358477000868</v>
      </c>
      <c r="G14" s="255"/>
      <c r="H14" s="549">
        <f>'10'!F14</f>
        <v>60</v>
      </c>
      <c r="I14" s="577">
        <f t="shared" si="2"/>
        <v>0.36029544226265536</v>
      </c>
      <c r="J14" s="342"/>
      <c r="K14" s="575">
        <f>'11'!I14</f>
        <v>6800</v>
      </c>
      <c r="L14" s="577">
        <f t="shared" si="3"/>
        <v>8.6844357032477237</v>
      </c>
      <c r="M14" s="342"/>
      <c r="N14" s="342">
        <f>'12'!F14</f>
        <v>24</v>
      </c>
      <c r="O14" s="552">
        <f t="shared" si="4"/>
        <v>0.93167701863354035</v>
      </c>
      <c r="P14" s="282"/>
      <c r="Q14" s="282">
        <v>0</v>
      </c>
      <c r="R14" s="581">
        <f t="shared" si="5"/>
        <v>0</v>
      </c>
      <c r="S14" s="282"/>
      <c r="T14" s="579">
        <f t="shared" si="6"/>
        <v>517941</v>
      </c>
      <c r="U14" s="580">
        <f t="shared" si="7"/>
        <v>3.5192401380405927</v>
      </c>
      <c r="V14" s="342"/>
      <c r="W14" s="255">
        <v>239720</v>
      </c>
      <c r="X14" s="411"/>
      <c r="Y14" s="312"/>
      <c r="Z14" s="575">
        <v>257820</v>
      </c>
      <c r="AA14" s="576"/>
      <c r="AB14" s="255"/>
      <c r="AC14" s="549">
        <v>80</v>
      </c>
      <c r="AD14" s="577"/>
      <c r="AE14" s="342"/>
      <c r="AF14" s="549">
        <v>3000</v>
      </c>
      <c r="AG14" s="577"/>
      <c r="AH14" s="342"/>
      <c r="AI14" s="342">
        <v>102</v>
      </c>
      <c r="AK14" s="611">
        <f t="shared" si="8"/>
        <v>500722</v>
      </c>
    </row>
    <row r="15" spans="1:37" s="19" customFormat="1" ht="21" customHeight="1" x14ac:dyDescent="0.25">
      <c r="A15" s="283" t="s">
        <v>83</v>
      </c>
      <c r="B15" s="255">
        <f>'8'!F15</f>
        <v>363000</v>
      </c>
      <c r="C15" s="411">
        <f t="shared" si="0"/>
        <v>3.7392746940207147</v>
      </c>
      <c r="D15" s="312"/>
      <c r="E15" s="575">
        <f>'9'!F15</f>
        <v>398770</v>
      </c>
      <c r="F15" s="576">
        <f t="shared" si="1"/>
        <v>8.0805325771482437</v>
      </c>
      <c r="G15" s="255"/>
      <c r="H15" s="575">
        <f>'10'!F15</f>
        <v>875</v>
      </c>
      <c r="I15" s="577">
        <f t="shared" si="2"/>
        <v>5.2543085329970571</v>
      </c>
      <c r="J15" s="342"/>
      <c r="K15" s="575">
        <f>'11'!I15</f>
        <v>200</v>
      </c>
      <c r="L15" s="577">
        <f t="shared" si="3"/>
        <v>0.25542457950728598</v>
      </c>
      <c r="M15" s="342"/>
      <c r="N15" s="342">
        <f>'12'!F15</f>
        <v>120</v>
      </c>
      <c r="O15" s="552">
        <f t="shared" si="4"/>
        <v>4.658385093167702</v>
      </c>
      <c r="P15" s="282"/>
      <c r="Q15" s="282">
        <f>'10'!G15</f>
        <v>1550</v>
      </c>
      <c r="R15" s="581">
        <f t="shared" si="5"/>
        <v>6.7887175893482841</v>
      </c>
      <c r="S15" s="282"/>
      <c r="T15" s="579">
        <f t="shared" si="6"/>
        <v>761415</v>
      </c>
      <c r="U15" s="580">
        <f t="shared" si="7"/>
        <v>5.1735665446569739</v>
      </c>
      <c r="V15" s="342"/>
      <c r="W15" s="255">
        <v>437000</v>
      </c>
      <c r="X15" s="411"/>
      <c r="Y15" s="312"/>
      <c r="Z15" s="575">
        <v>327000</v>
      </c>
      <c r="AA15" s="576"/>
      <c r="AB15" s="255"/>
      <c r="AC15" s="549">
        <v>1400</v>
      </c>
      <c r="AD15" s="577"/>
      <c r="AE15" s="342"/>
      <c r="AF15" s="549">
        <v>700</v>
      </c>
      <c r="AG15" s="577"/>
      <c r="AH15" s="342"/>
      <c r="AI15" s="342">
        <v>10</v>
      </c>
      <c r="AK15" s="611">
        <f t="shared" si="8"/>
        <v>766110</v>
      </c>
    </row>
    <row r="16" spans="1:37" s="19" customFormat="1" ht="21" customHeight="1" x14ac:dyDescent="0.25">
      <c r="A16" s="283" t="s">
        <v>84</v>
      </c>
      <c r="B16" s="255">
        <f>'8'!F16</f>
        <v>270000</v>
      </c>
      <c r="C16" s="411">
        <f t="shared" si="0"/>
        <v>2.7812786980319362</v>
      </c>
      <c r="D16" s="312"/>
      <c r="E16" s="575">
        <f>'9'!F16</f>
        <v>132000</v>
      </c>
      <c r="F16" s="576">
        <f t="shared" si="1"/>
        <v>2.6748007628045452</v>
      </c>
      <c r="G16" s="255"/>
      <c r="H16" s="575">
        <f>'10'!F16</f>
        <v>130</v>
      </c>
      <c r="I16" s="577">
        <f t="shared" si="2"/>
        <v>0.78064012490241996</v>
      </c>
      <c r="J16" s="342"/>
      <c r="K16" s="575">
        <f>'11'!I16</f>
        <v>100</v>
      </c>
      <c r="L16" s="577">
        <f t="shared" si="3"/>
        <v>0.12771228975364299</v>
      </c>
      <c r="M16" s="342"/>
      <c r="N16" s="342">
        <f>'12'!F16</f>
        <v>410</v>
      </c>
      <c r="O16" s="552">
        <f t="shared" si="4"/>
        <v>15.916149068322982</v>
      </c>
      <c r="P16" s="282"/>
      <c r="Q16" s="282">
        <v>0</v>
      </c>
      <c r="R16" s="581">
        <f t="shared" si="5"/>
        <v>0</v>
      </c>
      <c r="S16" s="282"/>
      <c r="T16" s="579">
        <f t="shared" si="6"/>
        <v>402640</v>
      </c>
      <c r="U16" s="580">
        <f t="shared" si="7"/>
        <v>2.7358074552519769</v>
      </c>
      <c r="V16" s="342"/>
      <c r="W16" s="255">
        <v>298000</v>
      </c>
      <c r="X16" s="411"/>
      <c r="Y16" s="312"/>
      <c r="Z16" s="575">
        <v>141089</v>
      </c>
      <c r="AA16" s="576"/>
      <c r="AB16" s="255"/>
      <c r="AC16" s="549">
        <v>120</v>
      </c>
      <c r="AD16" s="577"/>
      <c r="AE16" s="342"/>
      <c r="AF16" s="549">
        <v>100</v>
      </c>
      <c r="AG16" s="577"/>
      <c r="AH16" s="342"/>
      <c r="AI16" s="342">
        <v>500</v>
      </c>
      <c r="AK16" s="611">
        <f t="shared" si="8"/>
        <v>439809</v>
      </c>
    </row>
    <row r="17" spans="1:37" s="19" customFormat="1" ht="21" customHeight="1" x14ac:dyDescent="0.25">
      <c r="A17" s="283" t="s">
        <v>85</v>
      </c>
      <c r="B17" s="255">
        <f>'8'!F17</f>
        <v>144200</v>
      </c>
      <c r="C17" s="411">
        <f t="shared" si="0"/>
        <v>1.4854088453933525</v>
      </c>
      <c r="D17" s="312"/>
      <c r="E17" s="575">
        <f>'9'!F17</f>
        <v>95910</v>
      </c>
      <c r="F17" s="576">
        <f t="shared" si="1"/>
        <v>1.9434859178832116</v>
      </c>
      <c r="G17" s="255"/>
      <c r="H17" s="575">
        <f>'10'!F17</f>
        <v>740</v>
      </c>
      <c r="I17" s="577">
        <f t="shared" si="2"/>
        <v>4.4436437879060833</v>
      </c>
      <c r="J17" s="342"/>
      <c r="K17" s="575">
        <f>'11'!I17</f>
        <v>1206</v>
      </c>
      <c r="L17" s="577">
        <f t="shared" si="3"/>
        <v>1.5402102144289345</v>
      </c>
      <c r="M17" s="342"/>
      <c r="N17" s="342">
        <v>0</v>
      </c>
      <c r="O17" s="552">
        <f t="shared" si="4"/>
        <v>0</v>
      </c>
      <c r="P17" s="282"/>
      <c r="Q17" s="282">
        <f>'10'!G17</f>
        <v>1000</v>
      </c>
      <c r="R17" s="581">
        <f t="shared" si="5"/>
        <v>4.3798177995795378</v>
      </c>
      <c r="S17" s="282"/>
      <c r="T17" s="579">
        <f t="shared" si="6"/>
        <v>241056</v>
      </c>
      <c r="U17" s="580">
        <f t="shared" si="7"/>
        <v>1.6378968853894809</v>
      </c>
      <c r="V17" s="342"/>
      <c r="W17" s="255">
        <v>144200</v>
      </c>
      <c r="X17" s="411"/>
      <c r="Y17" s="312"/>
      <c r="Z17" s="575">
        <v>93310</v>
      </c>
      <c r="AA17" s="576"/>
      <c r="AB17" s="255"/>
      <c r="AC17" s="549">
        <v>1430</v>
      </c>
      <c r="AD17" s="577"/>
      <c r="AE17" s="342"/>
      <c r="AF17" s="549">
        <v>1300</v>
      </c>
      <c r="AG17" s="577"/>
      <c r="AH17" s="342"/>
      <c r="AI17" s="342">
        <v>0</v>
      </c>
      <c r="AK17" s="611">
        <f t="shared" si="8"/>
        <v>240240</v>
      </c>
    </row>
    <row r="18" spans="1:37" s="19" customFormat="1" ht="21" customHeight="1" x14ac:dyDescent="0.25">
      <c r="A18" s="283" t="s">
        <v>86</v>
      </c>
      <c r="B18" s="255">
        <f>'8'!F18</f>
        <v>299220</v>
      </c>
      <c r="C18" s="411">
        <f t="shared" si="0"/>
        <v>3.0822748593522813</v>
      </c>
      <c r="D18" s="312"/>
      <c r="E18" s="575">
        <f>'9'!F18</f>
        <v>364380</v>
      </c>
      <c r="F18" s="576">
        <f t="shared" si="1"/>
        <v>7.3836659238690912</v>
      </c>
      <c r="G18" s="255"/>
      <c r="H18" s="575">
        <f>'10'!F18</f>
        <v>2250</v>
      </c>
      <c r="I18" s="577">
        <f t="shared" si="2"/>
        <v>13.511079084849575</v>
      </c>
      <c r="J18" s="342"/>
      <c r="K18" s="549">
        <v>0</v>
      </c>
      <c r="L18" s="577">
        <f t="shared" si="3"/>
        <v>0</v>
      </c>
      <c r="M18" s="342"/>
      <c r="N18" s="342">
        <f>'12'!F18</f>
        <v>124</v>
      </c>
      <c r="O18" s="552">
        <f t="shared" si="4"/>
        <v>4.8136645962732922</v>
      </c>
      <c r="P18" s="282"/>
      <c r="Q18" s="282">
        <v>1500</v>
      </c>
      <c r="R18" s="581">
        <f t="shared" si="5"/>
        <v>6.5697266993693066</v>
      </c>
      <c r="S18" s="282"/>
      <c r="T18" s="579">
        <f t="shared" si="6"/>
        <v>664474</v>
      </c>
      <c r="U18" s="580">
        <f t="shared" si="7"/>
        <v>4.5148840726731132</v>
      </c>
      <c r="V18" s="342"/>
      <c r="W18" s="255">
        <v>282100</v>
      </c>
      <c r="X18" s="411"/>
      <c r="Y18" s="312"/>
      <c r="Z18" s="575">
        <v>337808</v>
      </c>
      <c r="AA18" s="576"/>
      <c r="AB18" s="255"/>
      <c r="AC18" s="549">
        <v>2022</v>
      </c>
      <c r="AD18" s="577"/>
      <c r="AE18" s="342"/>
      <c r="AF18" s="549">
        <v>0</v>
      </c>
      <c r="AG18" s="577"/>
      <c r="AH18" s="342"/>
      <c r="AI18" s="342">
        <v>108</v>
      </c>
      <c r="AK18" s="611">
        <f t="shared" si="8"/>
        <v>622038</v>
      </c>
    </row>
    <row r="19" spans="1:37" s="19" customFormat="1" ht="21" customHeight="1" x14ac:dyDescent="0.25">
      <c r="A19" s="283" t="s">
        <v>87</v>
      </c>
      <c r="B19" s="255">
        <f>'8'!F19</f>
        <v>117920</v>
      </c>
      <c r="C19" s="411">
        <f t="shared" si="0"/>
        <v>1.2146977187849108</v>
      </c>
      <c r="D19" s="312"/>
      <c r="E19" s="575">
        <f>'9'!F19</f>
        <v>502775</v>
      </c>
      <c r="F19" s="576">
        <f t="shared" si="1"/>
        <v>10.18805267817466</v>
      </c>
      <c r="G19" s="255"/>
      <c r="H19" s="575">
        <f>'10'!F19</f>
        <v>4416</v>
      </c>
      <c r="I19" s="577">
        <f t="shared" si="2"/>
        <v>26.517744550531436</v>
      </c>
      <c r="J19" s="342"/>
      <c r="K19" s="549">
        <v>0</v>
      </c>
      <c r="L19" s="577">
        <f t="shared" si="3"/>
        <v>0</v>
      </c>
      <c r="M19" s="342"/>
      <c r="N19" s="342">
        <v>0</v>
      </c>
      <c r="O19" s="552">
        <f t="shared" si="4"/>
        <v>0</v>
      </c>
      <c r="P19" s="282"/>
      <c r="Q19" s="282">
        <v>7950</v>
      </c>
      <c r="R19" s="581">
        <f t="shared" si="5"/>
        <v>34.819551506657326</v>
      </c>
      <c r="S19" s="282"/>
      <c r="T19" s="579">
        <f t="shared" si="6"/>
        <v>617161</v>
      </c>
      <c r="U19" s="580">
        <f t="shared" si="7"/>
        <v>4.1934076715943913</v>
      </c>
      <c r="V19" s="342"/>
      <c r="W19" s="255">
        <v>117920</v>
      </c>
      <c r="X19" s="411"/>
      <c r="Y19" s="312"/>
      <c r="Z19" s="575">
        <v>312960</v>
      </c>
      <c r="AA19" s="576"/>
      <c r="AB19" s="255"/>
      <c r="AC19" s="549">
        <v>5900</v>
      </c>
      <c r="AD19" s="577"/>
      <c r="AE19" s="342"/>
      <c r="AF19" s="549">
        <v>0</v>
      </c>
      <c r="AG19" s="577"/>
      <c r="AH19" s="342"/>
      <c r="AI19" s="342">
        <v>0</v>
      </c>
      <c r="AK19" s="611">
        <f t="shared" si="8"/>
        <v>436780</v>
      </c>
    </row>
    <row r="20" spans="1:37" s="19" customFormat="1" ht="21" customHeight="1" thickBot="1" x14ac:dyDescent="0.3">
      <c r="A20" s="283" t="s">
        <v>88</v>
      </c>
      <c r="B20" s="255">
        <f>'8'!F20</f>
        <v>308378</v>
      </c>
      <c r="C20" s="411">
        <f t="shared" si="0"/>
        <v>3.1766117123766389</v>
      </c>
      <c r="D20" s="393"/>
      <c r="E20" s="575">
        <f>'9'!F20</f>
        <v>1258945</v>
      </c>
      <c r="F20" s="576">
        <f t="shared" si="1"/>
        <v>25.510810957037634</v>
      </c>
      <c r="G20" s="251"/>
      <c r="H20" s="575">
        <f>'10'!F20</f>
        <v>5267</v>
      </c>
      <c r="I20" s="577">
        <f t="shared" si="2"/>
        <v>31.627934906623434</v>
      </c>
      <c r="J20" s="378"/>
      <c r="K20" s="549">
        <v>0</v>
      </c>
      <c r="L20" s="577">
        <f t="shared" si="3"/>
        <v>0</v>
      </c>
      <c r="M20" s="378"/>
      <c r="N20" s="342">
        <v>0</v>
      </c>
      <c r="O20" s="552">
        <f t="shared" si="4"/>
        <v>0</v>
      </c>
      <c r="P20" s="647"/>
      <c r="Q20" s="282">
        <v>10534</v>
      </c>
      <c r="R20" s="581">
        <f t="shared" si="5"/>
        <v>46.137000700770848</v>
      </c>
      <c r="S20" s="647"/>
      <c r="T20" s="579">
        <f t="shared" si="6"/>
        <v>1562056</v>
      </c>
      <c r="U20" s="580">
        <f t="shared" si="7"/>
        <v>10.613660963443976</v>
      </c>
      <c r="V20" s="578"/>
      <c r="W20" s="255">
        <v>239437</v>
      </c>
      <c r="X20" s="648"/>
      <c r="Y20" s="393"/>
      <c r="Z20" s="575">
        <v>1302656</v>
      </c>
      <c r="AA20" s="576"/>
      <c r="AB20" s="251"/>
      <c r="AC20" s="549">
        <v>5267</v>
      </c>
      <c r="AD20" s="577"/>
      <c r="AE20" s="378"/>
      <c r="AF20" s="549">
        <v>0</v>
      </c>
      <c r="AG20" s="577"/>
      <c r="AH20" s="378"/>
      <c r="AI20" s="342">
        <v>0</v>
      </c>
      <c r="AK20" s="611">
        <f t="shared" si="8"/>
        <v>1547360</v>
      </c>
    </row>
    <row r="21" spans="1:37" ht="21" customHeight="1" thickTop="1" thickBot="1" x14ac:dyDescent="0.3">
      <c r="A21" s="265" t="s">
        <v>313</v>
      </c>
      <c r="B21" s="268">
        <f>SUM(B5:B20)</f>
        <v>9707765</v>
      </c>
      <c r="C21" s="377">
        <f t="shared" si="0"/>
        <v>100</v>
      </c>
      <c r="D21" s="313"/>
      <c r="E21" s="287">
        <f>SUM(E5:E20)</f>
        <v>4934947</v>
      </c>
      <c r="F21" s="377">
        <f t="shared" si="1"/>
        <v>100</v>
      </c>
      <c r="G21" s="268"/>
      <c r="H21" s="287">
        <f>SUM(H5:H20)</f>
        <v>16653</v>
      </c>
      <c r="I21" s="377">
        <f t="shared" si="2"/>
        <v>100</v>
      </c>
      <c r="J21" s="268"/>
      <c r="K21" s="287">
        <f>SUM(K5:K20)</f>
        <v>78301</v>
      </c>
      <c r="L21" s="377">
        <f t="shared" si="3"/>
        <v>100</v>
      </c>
      <c r="M21" s="268"/>
      <c r="N21" s="268">
        <f>SUM(N5:N20)</f>
        <v>2576</v>
      </c>
      <c r="O21" s="377">
        <f t="shared" si="4"/>
        <v>100</v>
      </c>
      <c r="P21" s="284"/>
      <c r="Q21" s="284">
        <f>SUM(Q5:Q20)</f>
        <v>22832</v>
      </c>
      <c r="R21" s="377">
        <f t="shared" si="5"/>
        <v>100</v>
      </c>
      <c r="S21" s="377"/>
      <c r="T21" s="268">
        <f>SUM(T5:T20)</f>
        <v>14717410</v>
      </c>
      <c r="U21" s="377">
        <f t="shared" si="7"/>
        <v>100</v>
      </c>
      <c r="V21" s="267"/>
    </row>
    <row r="22" spans="1:37" ht="30" customHeight="1" thickTop="1" x14ac:dyDescent="0.25">
      <c r="A22" s="831" t="s">
        <v>424</v>
      </c>
      <c r="B22" s="831"/>
      <c r="C22" s="831"/>
      <c r="D22" s="831"/>
      <c r="E22" s="831"/>
      <c r="F22" s="831"/>
      <c r="G22" s="831"/>
      <c r="H22" s="831"/>
      <c r="I22" s="831"/>
      <c r="J22" s="831"/>
      <c r="K22" s="831"/>
      <c r="L22" s="831"/>
      <c r="M22" s="831"/>
      <c r="N22" s="831"/>
      <c r="O22" s="831"/>
      <c r="P22" s="831"/>
      <c r="Q22" s="831"/>
      <c r="R22" s="831"/>
      <c r="S22" s="831"/>
      <c r="T22" s="831"/>
      <c r="U22" s="831"/>
    </row>
    <row r="23" spans="1:37" s="246" customFormat="1" ht="9" customHeight="1" x14ac:dyDescent="0.25">
      <c r="A23" s="833"/>
      <c r="B23" s="833"/>
      <c r="C23" s="833"/>
      <c r="D23" s="833"/>
      <c r="E23" s="833"/>
      <c r="F23" s="413"/>
      <c r="G23" s="413"/>
      <c r="H23"/>
      <c r="I23"/>
      <c r="J23"/>
      <c r="K23"/>
      <c r="L23"/>
      <c r="M23"/>
      <c r="N23" s="257"/>
      <c r="O23" s="249"/>
      <c r="P23" s="248"/>
      <c r="Q23" s="248"/>
    </row>
    <row r="24" spans="1:37" s="246" customFormat="1" ht="16.5" customHeight="1" x14ac:dyDescent="0.2">
      <c r="A24" s="832" t="s">
        <v>326</v>
      </c>
      <c r="B24" s="832"/>
      <c r="C24" s="832"/>
      <c r="D24" s="832"/>
      <c r="E24" s="832"/>
      <c r="F24" s="832"/>
      <c r="G24" s="832"/>
      <c r="H24" s="832"/>
      <c r="I24" s="832"/>
      <c r="J24" s="832"/>
      <c r="K24" s="832"/>
      <c r="L24" s="832"/>
      <c r="M24" s="832"/>
      <c r="N24" s="832"/>
      <c r="O24" s="832"/>
      <c r="P24" s="832"/>
      <c r="Q24" s="832"/>
      <c r="R24" s="248"/>
    </row>
    <row r="25" spans="1:37" s="246" customFormat="1" ht="16.5" customHeight="1" thickBot="1" x14ac:dyDescent="0.25">
      <c r="A25" s="815" t="s">
        <v>327</v>
      </c>
      <c r="B25" s="815"/>
      <c r="C25" s="815"/>
      <c r="D25" s="815"/>
      <c r="E25" s="815"/>
      <c r="F25" s="815"/>
      <c r="G25" s="815"/>
      <c r="H25" s="815"/>
      <c r="I25" s="815"/>
      <c r="J25" s="815"/>
      <c r="K25" s="815"/>
      <c r="L25" s="815"/>
      <c r="M25" s="815"/>
      <c r="N25" s="815"/>
      <c r="O25" s="815"/>
      <c r="P25" s="815"/>
      <c r="Q25" s="815"/>
      <c r="R25" s="248"/>
    </row>
    <row r="26" spans="1:37" ht="16.5" customHeight="1" x14ac:dyDescent="0.25">
      <c r="A26" s="825" t="s">
        <v>255</v>
      </c>
      <c r="B26" s="825"/>
      <c r="C26" s="825"/>
      <c r="D26" s="825"/>
      <c r="E26" s="825"/>
      <c r="F26" s="326"/>
      <c r="G26" s="286"/>
      <c r="H26" s="286"/>
      <c r="I26" s="326"/>
      <c r="J26" s="825"/>
      <c r="K26" s="825"/>
      <c r="L26" s="825"/>
      <c r="M26" s="825"/>
      <c r="N26" s="825"/>
      <c r="O26" s="825"/>
      <c r="P26" s="825"/>
      <c r="Q26" s="374"/>
      <c r="R26" s="374"/>
      <c r="S26" s="374"/>
      <c r="T26" s="322"/>
      <c r="U26" s="336">
        <v>29</v>
      </c>
    </row>
  </sheetData>
  <mergeCells count="15">
    <mergeCell ref="A3:A4"/>
    <mergeCell ref="A26:E26"/>
    <mergeCell ref="A1:T1"/>
    <mergeCell ref="J26:P26"/>
    <mergeCell ref="B3:C3"/>
    <mergeCell ref="E3:F3"/>
    <mergeCell ref="H3:I3"/>
    <mergeCell ref="N3:O3"/>
    <mergeCell ref="T3:U3"/>
    <mergeCell ref="Q3:R3"/>
    <mergeCell ref="A22:U22"/>
    <mergeCell ref="A24:Q24"/>
    <mergeCell ref="A25:Q25"/>
    <mergeCell ref="A23:E23"/>
    <mergeCell ref="K3:L3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9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28"/>
  <sheetViews>
    <sheetView rightToLeft="1" view="pageBreakPreview" zoomScaleSheetLayoutView="100" workbookViewId="0">
      <selection activeCell="D20" sqref="D20"/>
    </sheetView>
  </sheetViews>
  <sheetFormatPr defaultColWidth="10.42578125" defaultRowHeight="14.25" x14ac:dyDescent="0.2"/>
  <cols>
    <col min="1" max="1" width="12.42578125" style="246" customWidth="1"/>
    <col min="2" max="2" width="20" style="246" customWidth="1"/>
    <col min="3" max="3" width="16.85546875" style="246" customWidth="1"/>
    <col min="4" max="4" width="22.5703125" style="246" customWidth="1"/>
    <col min="5" max="5" width="21.140625" style="246" customWidth="1"/>
    <col min="6" max="6" width="15.28515625" style="246" customWidth="1"/>
    <col min="7" max="7" width="17.42578125" style="246" customWidth="1"/>
    <col min="8" max="15" width="10.42578125" style="246"/>
    <col min="16" max="16" width="11.85546875" style="246" bestFit="1" customWidth="1"/>
    <col min="17" max="17" width="10.7109375" style="246" bestFit="1" customWidth="1"/>
    <col min="18" max="18" width="8.42578125" style="246" customWidth="1"/>
    <col min="19" max="19" width="12.140625" style="246" customWidth="1"/>
    <col min="20" max="16384" width="10.42578125" style="246"/>
  </cols>
  <sheetData>
    <row r="1" spans="1:20" ht="24" customHeight="1" x14ac:dyDescent="0.2">
      <c r="A1" s="835" t="s">
        <v>442</v>
      </c>
      <c r="B1" s="835"/>
      <c r="C1" s="835"/>
      <c r="D1" s="835"/>
      <c r="E1" s="835"/>
      <c r="F1" s="835"/>
      <c r="G1" s="835"/>
      <c r="H1" s="836"/>
      <c r="I1" s="836"/>
      <c r="J1" s="836"/>
      <c r="K1" s="836"/>
      <c r="L1" s="836"/>
      <c r="M1" s="836"/>
      <c r="N1" s="836"/>
      <c r="O1" s="836"/>
      <c r="P1" s="248"/>
      <c r="Q1" s="248"/>
      <c r="R1" s="248"/>
      <c r="S1" s="248"/>
      <c r="T1" s="248"/>
    </row>
    <row r="2" spans="1:20" ht="24" customHeight="1" thickBot="1" x14ac:dyDescent="0.25">
      <c r="A2" s="289" t="s">
        <v>500</v>
      </c>
      <c r="B2" s="290"/>
      <c r="C2" s="290"/>
      <c r="D2" s="290"/>
      <c r="E2" s="290"/>
      <c r="F2" s="290"/>
      <c r="G2" s="279" t="s">
        <v>264</v>
      </c>
      <c r="H2" s="837"/>
      <c r="I2" s="837"/>
      <c r="J2" s="837"/>
      <c r="K2" s="837"/>
      <c r="L2" s="837"/>
      <c r="M2" s="837"/>
      <c r="N2" s="837"/>
      <c r="O2" s="837"/>
      <c r="P2" s="248"/>
      <c r="Q2" s="248"/>
      <c r="R2" s="248"/>
      <c r="S2" s="248"/>
      <c r="T2" s="248"/>
    </row>
    <row r="3" spans="1:20" ht="51.75" customHeight="1" thickTop="1" x14ac:dyDescent="0.2">
      <c r="A3" s="394" t="s">
        <v>75</v>
      </c>
      <c r="B3" s="394" t="s">
        <v>373</v>
      </c>
      <c r="C3" s="394" t="s">
        <v>374</v>
      </c>
      <c r="D3" s="394" t="s">
        <v>267</v>
      </c>
      <c r="E3" s="394" t="s">
        <v>266</v>
      </c>
      <c r="F3" s="394" t="s">
        <v>331</v>
      </c>
      <c r="G3" s="394" t="s">
        <v>332</v>
      </c>
      <c r="H3" s="319"/>
      <c r="I3" s="318"/>
      <c r="J3" s="318"/>
      <c r="K3" s="834"/>
      <c r="L3" s="834"/>
      <c r="M3" s="834"/>
      <c r="N3" s="291"/>
      <c r="O3" s="318"/>
      <c r="P3" s="248"/>
      <c r="Q3" s="248"/>
      <c r="R3" s="248"/>
      <c r="S3" s="248"/>
      <c r="T3" s="248"/>
    </row>
    <row r="4" spans="1:20" s="299" customFormat="1" ht="21.75" customHeight="1" x14ac:dyDescent="0.2">
      <c r="A4" s="628" t="s">
        <v>76</v>
      </c>
      <c r="B4" s="456">
        <f>'14'!Q5</f>
        <v>1828190</v>
      </c>
      <c r="C4" s="456">
        <f>'15'!T5</f>
        <v>1694655</v>
      </c>
      <c r="D4" s="636">
        <v>15</v>
      </c>
      <c r="E4" s="456">
        <f>C4*D4/100</f>
        <v>254198.25</v>
      </c>
      <c r="F4" s="456">
        <v>0</v>
      </c>
      <c r="G4" s="457">
        <f t="shared" ref="G4:G12" si="0">C4-E4-F4</f>
        <v>1440456.75</v>
      </c>
      <c r="H4" s="582"/>
      <c r="I4" s="711"/>
      <c r="J4" s="456"/>
      <c r="K4" s="711"/>
      <c r="L4" s="711"/>
      <c r="M4" s="585">
        <f>H4-J4-K4</f>
        <v>0</v>
      </c>
      <c r="N4" s="711"/>
      <c r="O4" s="711"/>
      <c r="P4" s="458"/>
      <c r="Q4" s="458"/>
      <c r="R4" s="458"/>
      <c r="S4" s="458"/>
      <c r="T4" s="458"/>
    </row>
    <row r="5" spans="1:20" s="299" customFormat="1" ht="21.75" customHeight="1" x14ac:dyDescent="0.25">
      <c r="A5" s="628" t="s">
        <v>77</v>
      </c>
      <c r="B5" s="456">
        <f>'14'!Q6</f>
        <v>550450</v>
      </c>
      <c r="C5" s="456">
        <f>'15'!T6</f>
        <v>504405</v>
      </c>
      <c r="D5" s="636">
        <v>18</v>
      </c>
      <c r="E5" s="456">
        <f t="shared" ref="E5:E11" si="1">C5*D5/100</f>
        <v>90792.9</v>
      </c>
      <c r="F5" s="456">
        <v>72</v>
      </c>
      <c r="G5" s="457">
        <f t="shared" si="0"/>
        <v>413540.1</v>
      </c>
      <c r="H5" s="637"/>
      <c r="I5" s="638"/>
      <c r="J5" s="456"/>
      <c r="K5" s="458"/>
      <c r="L5" s="458"/>
      <c r="M5" s="458"/>
      <c r="N5" s="458"/>
      <c r="O5" s="458"/>
      <c r="P5" s="458"/>
      <c r="Q5" s="458"/>
      <c r="R5" s="458"/>
      <c r="S5" s="458"/>
      <c r="T5" s="458"/>
    </row>
    <row r="6" spans="1:20" s="299" customFormat="1" ht="21.75" customHeight="1" x14ac:dyDescent="0.2">
      <c r="A6" s="253" t="s">
        <v>78</v>
      </c>
      <c r="B6" s="456">
        <f>'14'!Q7</f>
        <v>515011</v>
      </c>
      <c r="C6" s="255">
        <f>'15'!T7</f>
        <v>485128</v>
      </c>
      <c r="D6" s="411">
        <v>5</v>
      </c>
      <c r="E6" s="456">
        <f t="shared" si="1"/>
        <v>24256.400000000001</v>
      </c>
      <c r="F6" s="255">
        <v>43640</v>
      </c>
      <c r="G6" s="457">
        <f t="shared" si="0"/>
        <v>417231.6</v>
      </c>
      <c r="H6" s="583"/>
      <c r="I6" s="459"/>
      <c r="J6" s="456"/>
      <c r="K6" s="458"/>
      <c r="L6" s="458"/>
      <c r="M6" s="458"/>
      <c r="N6" s="458"/>
      <c r="O6" s="458"/>
      <c r="P6" s="458"/>
      <c r="Q6" s="458"/>
      <c r="R6" s="458"/>
      <c r="S6" s="458"/>
      <c r="T6" s="458"/>
    </row>
    <row r="7" spans="1:20" s="299" customFormat="1" ht="21.75" customHeight="1" x14ac:dyDescent="0.2">
      <c r="A7" s="253" t="s">
        <v>336</v>
      </c>
      <c r="B7" s="456">
        <f>'14'!Q8</f>
        <v>884340</v>
      </c>
      <c r="C7" s="255">
        <f>'15'!T8</f>
        <v>452256</v>
      </c>
      <c r="D7" s="411">
        <v>20</v>
      </c>
      <c r="E7" s="456">
        <f t="shared" si="1"/>
        <v>90451.199999999997</v>
      </c>
      <c r="F7" s="255">
        <v>0</v>
      </c>
      <c r="G7" s="457">
        <f t="shared" si="0"/>
        <v>361804.79999999999</v>
      </c>
      <c r="H7" s="583"/>
      <c r="I7" s="459"/>
      <c r="J7" s="456"/>
      <c r="K7" s="458"/>
      <c r="L7" s="458"/>
      <c r="M7" s="458"/>
      <c r="N7" s="458"/>
      <c r="O7" s="458"/>
      <c r="P7" s="458"/>
      <c r="Q7" s="458"/>
      <c r="R7" s="458"/>
      <c r="S7" s="458"/>
      <c r="T7" s="458"/>
    </row>
    <row r="8" spans="1:20" s="299" customFormat="1" ht="21.75" customHeight="1" x14ac:dyDescent="0.2">
      <c r="A8" s="253" t="s">
        <v>89</v>
      </c>
      <c r="B8" s="456">
        <f>'14'!Q9</f>
        <v>4250000</v>
      </c>
      <c r="C8" s="255">
        <f>'15'!T9</f>
        <v>4087612</v>
      </c>
      <c r="D8" s="411">
        <v>29</v>
      </c>
      <c r="E8" s="456">
        <f t="shared" si="1"/>
        <v>1185407.48</v>
      </c>
      <c r="F8" s="255">
        <v>1620</v>
      </c>
      <c r="G8" s="457">
        <f t="shared" si="0"/>
        <v>2900584.52</v>
      </c>
      <c r="H8" s="584"/>
      <c r="I8" s="458"/>
      <c r="J8" s="456"/>
      <c r="K8" s="458"/>
    </row>
    <row r="9" spans="1:20" s="299" customFormat="1" ht="21.75" customHeight="1" x14ac:dyDescent="0.2">
      <c r="A9" s="253" t="s">
        <v>80</v>
      </c>
      <c r="B9" s="456">
        <f>'14'!Q10</f>
        <v>605061</v>
      </c>
      <c r="C9" s="255">
        <f>'15'!T10</f>
        <v>550051</v>
      </c>
      <c r="D9" s="411">
        <v>15</v>
      </c>
      <c r="E9" s="456">
        <f t="shared" si="1"/>
        <v>82507.649999999994</v>
      </c>
      <c r="F9" s="255">
        <v>0</v>
      </c>
      <c r="G9" s="457">
        <f t="shared" si="0"/>
        <v>467543.35</v>
      </c>
      <c r="H9" s="584"/>
      <c r="I9" s="458"/>
      <c r="J9" s="456"/>
      <c r="K9" s="458"/>
    </row>
    <row r="10" spans="1:20" s="299" customFormat="1" ht="21.75" customHeight="1" x14ac:dyDescent="0.2">
      <c r="A10" s="253" t="s">
        <v>82</v>
      </c>
      <c r="B10" s="456">
        <f>'14'!Q11</f>
        <v>1041098</v>
      </c>
      <c r="C10" s="255">
        <f>'15'!T11</f>
        <v>804481</v>
      </c>
      <c r="D10" s="411">
        <v>15</v>
      </c>
      <c r="E10" s="456">
        <f t="shared" si="1"/>
        <v>120672.15</v>
      </c>
      <c r="F10" s="255">
        <v>0</v>
      </c>
      <c r="G10" s="457">
        <f t="shared" si="0"/>
        <v>683808.85</v>
      </c>
      <c r="H10" s="584"/>
      <c r="I10" s="458"/>
      <c r="J10" s="456"/>
      <c r="K10" s="458"/>
    </row>
    <row r="11" spans="1:20" s="299" customFormat="1" ht="21.75" customHeight="1" x14ac:dyDescent="0.2">
      <c r="A11" s="253" t="s">
        <v>74</v>
      </c>
      <c r="B11" s="456">
        <f>'14'!Q12</f>
        <v>738636</v>
      </c>
      <c r="C11" s="255">
        <f>'15'!T12</f>
        <v>570764</v>
      </c>
      <c r="D11" s="648">
        <v>25</v>
      </c>
      <c r="E11" s="456">
        <f t="shared" si="1"/>
        <v>142691</v>
      </c>
      <c r="F11" s="251">
        <v>0</v>
      </c>
      <c r="G11" s="457">
        <f t="shared" si="0"/>
        <v>428073</v>
      </c>
      <c r="H11" s="584"/>
      <c r="I11" s="458"/>
      <c r="J11" s="456"/>
      <c r="K11" s="458"/>
    </row>
    <row r="12" spans="1:20" s="298" customFormat="1" ht="21.75" customHeight="1" x14ac:dyDescent="0.2">
      <c r="A12" s="253" t="s">
        <v>81</v>
      </c>
      <c r="B12" s="456">
        <f>'14'!Q13</f>
        <v>841392</v>
      </c>
      <c r="C12" s="255">
        <f>'15'!T13</f>
        <v>801315</v>
      </c>
      <c r="D12" s="411">
        <v>20</v>
      </c>
      <c r="E12" s="456">
        <f>C12*D12/100</f>
        <v>160263</v>
      </c>
      <c r="F12" s="255">
        <v>50000</v>
      </c>
      <c r="G12" s="618">
        <f t="shared" si="0"/>
        <v>591052</v>
      </c>
      <c r="H12" s="584"/>
      <c r="I12" s="458"/>
      <c r="J12" s="456"/>
      <c r="K12" s="458"/>
    </row>
    <row r="13" spans="1:20" s="298" customFormat="1" ht="21.75" customHeight="1" x14ac:dyDescent="0.2">
      <c r="A13" s="253" t="s">
        <v>79</v>
      </c>
      <c r="B13" s="456">
        <f>'14'!Q14</f>
        <v>927265</v>
      </c>
      <c r="C13" s="255">
        <f>'15'!T14</f>
        <v>517941</v>
      </c>
      <c r="D13" s="411">
        <v>35</v>
      </c>
      <c r="E13" s="456">
        <f t="shared" ref="E13:E19" si="2">C13*D13/100</f>
        <v>181279.35</v>
      </c>
      <c r="F13" s="255">
        <v>200452</v>
      </c>
      <c r="G13" s="618">
        <f t="shared" ref="G13:G19" si="3">C13-E13-F13</f>
        <v>136209.65000000002</v>
      </c>
      <c r="H13" s="584"/>
      <c r="I13" s="458"/>
      <c r="J13" s="456"/>
      <c r="K13" s="458"/>
    </row>
    <row r="14" spans="1:20" s="298" customFormat="1" ht="21.75" customHeight="1" x14ac:dyDescent="0.2">
      <c r="A14" s="253" t="s">
        <v>83</v>
      </c>
      <c r="B14" s="456">
        <f>'14'!Q15</f>
        <v>820310</v>
      </c>
      <c r="C14" s="255">
        <f>'15'!T15</f>
        <v>761415</v>
      </c>
      <c r="D14" s="411">
        <v>35</v>
      </c>
      <c r="E14" s="456">
        <f t="shared" si="2"/>
        <v>266495.25</v>
      </c>
      <c r="F14" s="255">
        <v>3000</v>
      </c>
      <c r="G14" s="618">
        <f t="shared" si="3"/>
        <v>491919.75</v>
      </c>
      <c r="H14" s="584"/>
      <c r="I14" s="458"/>
      <c r="J14" s="456"/>
      <c r="K14" s="458"/>
    </row>
    <row r="15" spans="1:20" s="298" customFormat="1" ht="21.75" customHeight="1" x14ac:dyDescent="0.2">
      <c r="A15" s="253" t="s">
        <v>84</v>
      </c>
      <c r="B15" s="456">
        <f>'14'!Q16</f>
        <v>656265</v>
      </c>
      <c r="C15" s="255">
        <f>'15'!T16</f>
        <v>402640</v>
      </c>
      <c r="D15" s="411">
        <v>25</v>
      </c>
      <c r="E15" s="456">
        <f t="shared" si="2"/>
        <v>100660</v>
      </c>
      <c r="F15" s="255">
        <v>20030</v>
      </c>
      <c r="G15" s="618">
        <f t="shared" si="3"/>
        <v>281950</v>
      </c>
      <c r="H15" s="584"/>
      <c r="I15" s="458"/>
      <c r="J15" s="456"/>
      <c r="K15" s="458"/>
    </row>
    <row r="16" spans="1:20" s="298" customFormat="1" ht="21.75" customHeight="1" x14ac:dyDescent="0.2">
      <c r="A16" s="253" t="s">
        <v>85</v>
      </c>
      <c r="B16" s="456">
        <f>'14'!Q17</f>
        <v>293050</v>
      </c>
      <c r="C16" s="255">
        <f>'15'!T17</f>
        <v>241056</v>
      </c>
      <c r="D16" s="411">
        <v>35</v>
      </c>
      <c r="E16" s="456">
        <f t="shared" si="2"/>
        <v>84369.600000000006</v>
      </c>
      <c r="F16" s="255">
        <v>0</v>
      </c>
      <c r="G16" s="618">
        <f t="shared" si="3"/>
        <v>156686.39999999999</v>
      </c>
      <c r="H16" s="584"/>
      <c r="I16" s="458"/>
      <c r="J16" s="456"/>
      <c r="K16" s="458"/>
    </row>
    <row r="17" spans="1:21" s="298" customFormat="1" ht="21.75" customHeight="1" x14ac:dyDescent="0.2">
      <c r="A17" s="253" t="s">
        <v>86</v>
      </c>
      <c r="B17" s="456">
        <f>'14'!Q18</f>
        <v>901762</v>
      </c>
      <c r="C17" s="255">
        <f>'15'!T18</f>
        <v>664474</v>
      </c>
      <c r="D17" s="411">
        <v>8</v>
      </c>
      <c r="E17" s="255">
        <f t="shared" si="2"/>
        <v>53157.919999999998</v>
      </c>
      <c r="F17" s="255">
        <v>1094</v>
      </c>
      <c r="G17" s="255">
        <f t="shared" si="3"/>
        <v>610222.07999999996</v>
      </c>
      <c r="H17" s="584"/>
      <c r="I17" s="458"/>
      <c r="J17" s="255"/>
      <c r="K17" s="458"/>
    </row>
    <row r="18" spans="1:21" s="298" customFormat="1" ht="21.75" customHeight="1" x14ac:dyDescent="0.2">
      <c r="A18" s="253" t="s">
        <v>87</v>
      </c>
      <c r="B18" s="456">
        <f>'14'!Q19</f>
        <v>765825</v>
      </c>
      <c r="C18" s="255">
        <f>'15'!T19</f>
        <v>617161</v>
      </c>
      <c r="D18" s="411">
        <v>5</v>
      </c>
      <c r="E18" s="456">
        <f t="shared" si="2"/>
        <v>30858.05</v>
      </c>
      <c r="F18" s="255">
        <v>125</v>
      </c>
      <c r="G18" s="618">
        <f>C18-E18-F18</f>
        <v>586177.94999999995</v>
      </c>
      <c r="H18" s="584"/>
      <c r="I18" s="584"/>
      <c r="J18" s="456"/>
      <c r="K18" s="458"/>
    </row>
    <row r="19" spans="1:21" s="298" customFormat="1" ht="21.75" customHeight="1" thickBot="1" x14ac:dyDescent="0.25">
      <c r="A19" s="256" t="s">
        <v>88</v>
      </c>
      <c r="B19" s="456">
        <f>'14'!Q20</f>
        <v>2037531</v>
      </c>
      <c r="C19" s="251">
        <f>'15'!T20</f>
        <v>1562056</v>
      </c>
      <c r="D19" s="648">
        <v>26</v>
      </c>
      <c r="E19" s="456">
        <f t="shared" si="2"/>
        <v>406134.56</v>
      </c>
      <c r="F19" s="251">
        <v>0</v>
      </c>
      <c r="G19" s="618">
        <f t="shared" si="3"/>
        <v>1155921.44</v>
      </c>
      <c r="H19" s="584"/>
      <c r="I19" s="584"/>
      <c r="J19" s="456"/>
      <c r="K19" s="458"/>
    </row>
    <row r="20" spans="1:21" ht="21.75" customHeight="1" thickTop="1" thickBot="1" x14ac:dyDescent="0.25">
      <c r="A20" s="265" t="s">
        <v>313</v>
      </c>
      <c r="B20" s="268">
        <f t="shared" ref="B20:G20" si="4">SUM(B4:B19)</f>
        <v>17656186</v>
      </c>
      <c r="C20" s="268">
        <f t="shared" si="4"/>
        <v>14717410</v>
      </c>
      <c r="D20" s="377">
        <f>E20/C20*100</f>
        <v>22.247085322757197</v>
      </c>
      <c r="E20" s="268">
        <f t="shared" si="4"/>
        <v>3274194.76</v>
      </c>
      <c r="F20" s="268">
        <f t="shared" si="4"/>
        <v>320033</v>
      </c>
      <c r="G20" s="268">
        <f t="shared" si="4"/>
        <v>11123182.239999998</v>
      </c>
      <c r="H20" s="375"/>
      <c r="I20" s="375"/>
      <c r="J20" s="248"/>
      <c r="K20" s="375"/>
    </row>
    <row r="21" spans="1:21" ht="19.5" customHeight="1" thickTop="1" thickBot="1" x14ac:dyDescent="0.25">
      <c r="A21" s="831" t="s">
        <v>372</v>
      </c>
      <c r="B21" s="831"/>
      <c r="C21" s="831"/>
      <c r="D21" s="831"/>
      <c r="E21" s="831"/>
      <c r="F21" s="831"/>
      <c r="G21" s="831"/>
      <c r="H21" s="248"/>
      <c r="I21" s="375"/>
      <c r="J21" s="248"/>
      <c r="K21" s="375"/>
    </row>
    <row r="22" spans="1:21" ht="27.75" customHeight="1" thickTop="1" x14ac:dyDescent="0.2">
      <c r="A22" s="838" t="s">
        <v>425</v>
      </c>
      <c r="B22" s="838"/>
      <c r="C22" s="838"/>
      <c r="D22" s="838"/>
      <c r="E22" s="838"/>
      <c r="F22" s="838"/>
      <c r="G22" s="838"/>
      <c r="H22" s="501"/>
      <c r="I22" s="501"/>
      <c r="J22" s="501"/>
      <c r="K22" s="501"/>
      <c r="L22" s="501"/>
      <c r="M22" s="501"/>
      <c r="N22" s="501"/>
      <c r="O22" s="501"/>
      <c r="P22" s="501"/>
      <c r="Q22" s="501"/>
      <c r="R22" s="501"/>
      <c r="S22" s="501"/>
      <c r="T22" s="501"/>
      <c r="U22" s="501"/>
    </row>
    <row r="23" spans="1:21" ht="21" customHeight="1" x14ac:dyDescent="0.2">
      <c r="A23" s="832" t="s">
        <v>326</v>
      </c>
      <c r="B23" s="832"/>
      <c r="C23" s="832"/>
      <c r="D23" s="832"/>
      <c r="E23" s="832"/>
      <c r="F23" s="832"/>
      <c r="G23" s="832"/>
      <c r="H23" s="832"/>
      <c r="I23" s="832"/>
      <c r="J23" s="832"/>
      <c r="K23" s="832"/>
      <c r="L23" s="832"/>
      <c r="M23" s="832"/>
      <c r="N23" s="832"/>
      <c r="O23" s="248"/>
    </row>
    <row r="24" spans="1:21" ht="21" customHeight="1" thickBot="1" x14ac:dyDescent="0.25">
      <c r="A24" s="815" t="s">
        <v>327</v>
      </c>
      <c r="B24" s="815"/>
      <c r="C24" s="815"/>
      <c r="D24" s="815"/>
      <c r="E24" s="815"/>
      <c r="F24" s="815"/>
      <c r="G24" s="815"/>
      <c r="H24" s="815"/>
      <c r="I24" s="815"/>
      <c r="J24" s="815"/>
      <c r="K24" s="815"/>
      <c r="L24" s="815"/>
      <c r="M24" s="815"/>
      <c r="N24" s="815"/>
      <c r="O24" s="248"/>
    </row>
    <row r="25" spans="1:21" ht="21" customHeight="1" x14ac:dyDescent="0.2">
      <c r="A25" s="811" t="s">
        <v>255</v>
      </c>
      <c r="B25" s="811"/>
      <c r="C25" s="811"/>
      <c r="D25" s="811"/>
      <c r="E25" s="811"/>
      <c r="F25" s="315"/>
      <c r="G25" s="323">
        <v>30</v>
      </c>
      <c r="H25" s="248"/>
      <c r="I25" s="248"/>
      <c r="J25" s="248"/>
      <c r="K25" s="375">
        <f>SUM(K20:K24)</f>
        <v>0</v>
      </c>
    </row>
    <row r="26" spans="1:21" x14ac:dyDescent="0.2">
      <c r="H26" s="248"/>
      <c r="I26" s="248"/>
      <c r="J26" s="248"/>
      <c r="K26" s="248"/>
    </row>
    <row r="28" spans="1:21" x14ac:dyDescent="0.2">
      <c r="E28" s="424">
        <f>C20*D20/100</f>
        <v>3274194.76</v>
      </c>
    </row>
  </sheetData>
  <mergeCells count="9">
    <mergeCell ref="K3:M3"/>
    <mergeCell ref="A1:G1"/>
    <mergeCell ref="H1:O1"/>
    <mergeCell ref="H2:O2"/>
    <mergeCell ref="A25:E25"/>
    <mergeCell ref="A23:N23"/>
    <mergeCell ref="A24:N24"/>
    <mergeCell ref="A22:G22"/>
    <mergeCell ref="A21:G21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48"/>
  <sheetViews>
    <sheetView rightToLeft="1" view="pageBreakPreview" zoomScale="110" zoomScaleSheetLayoutView="110" workbookViewId="0">
      <selection activeCell="L26" sqref="L26"/>
    </sheetView>
  </sheetViews>
  <sheetFormatPr defaultColWidth="10.42578125" defaultRowHeight="14.25" x14ac:dyDescent="0.2"/>
  <cols>
    <col min="1" max="1" width="14.140625" style="246" customWidth="1"/>
    <col min="2" max="4" width="10" style="246" customWidth="1"/>
    <col min="5" max="5" width="1.140625" style="246" customWidth="1"/>
    <col min="6" max="7" width="10" style="246" customWidth="1"/>
    <col min="8" max="8" width="10.42578125" style="246" customWidth="1"/>
    <col min="9" max="9" width="1.140625" style="246" customWidth="1"/>
    <col min="10" max="12" width="10" style="246" customWidth="1"/>
    <col min="13" max="13" width="12.85546875" style="246" customWidth="1"/>
    <col min="14" max="14" width="10.42578125" style="246"/>
    <col min="15" max="15" width="17.28515625" style="246" customWidth="1"/>
    <col min="16" max="16384" width="10.42578125" style="246"/>
  </cols>
  <sheetData>
    <row r="1" spans="1:15" ht="23.25" customHeight="1" x14ac:dyDescent="0.2">
      <c r="A1" s="840" t="s">
        <v>443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</row>
    <row r="2" spans="1:15" ht="23.25" customHeight="1" thickBot="1" x14ac:dyDescent="0.25">
      <c r="A2" s="841" t="s">
        <v>475</v>
      </c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841"/>
    </row>
    <row r="3" spans="1:15" ht="23.25" customHeight="1" thickTop="1" x14ac:dyDescent="0.2">
      <c r="A3" s="842" t="s">
        <v>75</v>
      </c>
      <c r="B3" s="844" t="s">
        <v>5</v>
      </c>
      <c r="C3" s="844"/>
      <c r="D3" s="844"/>
      <c r="E3" s="523"/>
      <c r="F3" s="844" t="s">
        <v>272</v>
      </c>
      <c r="G3" s="844"/>
      <c r="H3" s="844"/>
      <c r="I3" s="844"/>
      <c r="J3" s="844" t="s">
        <v>273</v>
      </c>
      <c r="K3" s="844"/>
      <c r="L3" s="844"/>
    </row>
    <row r="4" spans="1:15" ht="23.25" customHeight="1" x14ac:dyDescent="0.2">
      <c r="A4" s="843"/>
      <c r="B4" s="292" t="s">
        <v>274</v>
      </c>
      <c r="C4" s="292" t="s">
        <v>91</v>
      </c>
      <c r="D4" s="292" t="s">
        <v>26</v>
      </c>
      <c r="E4" s="524"/>
      <c r="F4" s="292" t="s">
        <v>274</v>
      </c>
      <c r="G4" s="292" t="s">
        <v>91</v>
      </c>
      <c r="H4" s="292" t="s">
        <v>26</v>
      </c>
      <c r="I4" s="845"/>
      <c r="J4" s="292" t="s">
        <v>268</v>
      </c>
      <c r="K4" s="292" t="s">
        <v>275</v>
      </c>
      <c r="L4" s="292" t="s">
        <v>26</v>
      </c>
    </row>
    <row r="5" spans="1:15" s="299" customFormat="1" ht="21.75" customHeight="1" x14ac:dyDescent="0.2">
      <c r="A5" s="628" t="s">
        <v>76</v>
      </c>
      <c r="B5" s="255">
        <v>2321479</v>
      </c>
      <c r="C5" s="255">
        <v>1506718</v>
      </c>
      <c r="D5" s="255">
        <f>SUM(B5:C5)</f>
        <v>3828197</v>
      </c>
      <c r="E5" s="300"/>
      <c r="F5" s="255">
        <f>B5*J5/100</f>
        <v>2251834.63</v>
      </c>
      <c r="G5" s="255">
        <f>C5*K5/100</f>
        <v>1130038.5</v>
      </c>
      <c r="H5" s="255">
        <v>3381874</v>
      </c>
      <c r="I5" s="255"/>
      <c r="J5" s="460">
        <v>97</v>
      </c>
      <c r="K5" s="460">
        <v>75</v>
      </c>
      <c r="L5" s="460">
        <f>H5/D5*100</f>
        <v>88.341169485269432</v>
      </c>
    </row>
    <row r="6" spans="1:15" s="299" customFormat="1" ht="21.75" customHeight="1" x14ac:dyDescent="0.2">
      <c r="A6" s="628" t="s">
        <v>77</v>
      </c>
      <c r="B6" s="255">
        <v>1212210</v>
      </c>
      <c r="C6" s="255">
        <v>427743</v>
      </c>
      <c r="D6" s="255">
        <f>SUM(B6:C6)</f>
        <v>1639953</v>
      </c>
      <c r="E6" s="300"/>
      <c r="F6" s="255">
        <f t="shared" ref="F6:G7" si="0">B6*J6/100</f>
        <v>1115233.2</v>
      </c>
      <c r="G6" s="255">
        <f t="shared" si="0"/>
        <v>355026.69</v>
      </c>
      <c r="H6" s="255">
        <f>SUM(F6:G6)</f>
        <v>1470259.89</v>
      </c>
      <c r="I6" s="255"/>
      <c r="J6" s="460">
        <v>92</v>
      </c>
      <c r="K6" s="460">
        <v>83</v>
      </c>
      <c r="L6" s="460">
        <f>H6/D6*100</f>
        <v>89.652562603928274</v>
      </c>
    </row>
    <row r="7" spans="1:15" s="299" customFormat="1" ht="21.75" customHeight="1" x14ac:dyDescent="0.2">
      <c r="A7" s="253" t="s">
        <v>78</v>
      </c>
      <c r="B7" s="255">
        <v>826745</v>
      </c>
      <c r="C7" s="255">
        <v>853583</v>
      </c>
      <c r="D7" s="255">
        <f>SUM(B7:C7)</f>
        <v>1680328</v>
      </c>
      <c r="E7" s="300"/>
      <c r="F7" s="255">
        <f t="shared" si="0"/>
        <v>826745</v>
      </c>
      <c r="G7" s="255">
        <f t="shared" si="0"/>
        <v>640187.25</v>
      </c>
      <c r="H7" s="255">
        <f>SUM(F7:G7)</f>
        <v>1466932.25</v>
      </c>
      <c r="I7" s="255"/>
      <c r="J7" s="460">
        <v>100</v>
      </c>
      <c r="K7" s="460">
        <v>75</v>
      </c>
      <c r="L7" s="460">
        <f>H7/D7*100</f>
        <v>87.300351478996959</v>
      </c>
    </row>
    <row r="8" spans="1:15" s="299" customFormat="1" ht="21.75" customHeight="1" x14ac:dyDescent="0.2">
      <c r="A8" s="253" t="s">
        <v>336</v>
      </c>
      <c r="B8" s="255">
        <v>909458</v>
      </c>
      <c r="C8" s="255">
        <v>908860</v>
      </c>
      <c r="D8" s="255">
        <f>SUM(B8:C8)</f>
        <v>1818318</v>
      </c>
      <c r="E8" s="300"/>
      <c r="F8" s="255">
        <f>B8*J8/100</f>
        <v>773039.3</v>
      </c>
      <c r="G8" s="255">
        <f>C8*K8/100</f>
        <v>681645</v>
      </c>
      <c r="H8" s="255">
        <f>SUM(F8:G8)</f>
        <v>1454684.3</v>
      </c>
      <c r="I8" s="255"/>
      <c r="J8" s="460">
        <v>85</v>
      </c>
      <c r="K8" s="460">
        <v>75</v>
      </c>
      <c r="L8" s="460">
        <f>H8/D8*100</f>
        <v>80.001644376836182</v>
      </c>
    </row>
    <row r="9" spans="1:15" s="299" customFormat="1" ht="21.75" customHeight="1" x14ac:dyDescent="0.2">
      <c r="A9" s="253" t="s">
        <v>89</v>
      </c>
      <c r="B9" s="255">
        <v>6150828</v>
      </c>
      <c r="C9" s="255">
        <v>0</v>
      </c>
      <c r="D9" s="255">
        <f>B9+C9</f>
        <v>6150828</v>
      </c>
      <c r="E9" s="300"/>
      <c r="F9" s="255">
        <f t="shared" ref="F9:F20" si="1">B9*J9/100</f>
        <v>6150828</v>
      </c>
      <c r="G9" s="255">
        <v>0</v>
      </c>
      <c r="H9" s="255">
        <f>D9*L9/100</f>
        <v>6150828</v>
      </c>
      <c r="I9" s="255"/>
      <c r="J9" s="460">
        <v>100</v>
      </c>
      <c r="K9" s="460">
        <v>0</v>
      </c>
      <c r="L9" s="460">
        <v>100</v>
      </c>
      <c r="O9" s="612"/>
    </row>
    <row r="10" spans="1:15" s="299" customFormat="1" ht="21.75" customHeight="1" x14ac:dyDescent="0.2">
      <c r="A10" s="253" t="s">
        <v>80</v>
      </c>
      <c r="B10" s="255">
        <v>1146604</v>
      </c>
      <c r="C10" s="255">
        <v>1043279</v>
      </c>
      <c r="D10" s="255">
        <f t="shared" ref="D10:D20" si="2">SUM(B10:C10)</f>
        <v>2189883</v>
      </c>
      <c r="E10" s="300"/>
      <c r="F10" s="255">
        <f t="shared" si="1"/>
        <v>687962.4</v>
      </c>
      <c r="G10" s="255">
        <f t="shared" ref="G10:G20" si="3">C10*K10/100</f>
        <v>417311.6</v>
      </c>
      <c r="H10" s="255">
        <f t="shared" ref="H10:H15" si="4">SUM(F10:G10)</f>
        <v>1105274</v>
      </c>
      <c r="I10" s="255"/>
      <c r="J10" s="460">
        <v>60</v>
      </c>
      <c r="K10" s="460">
        <v>40</v>
      </c>
      <c r="L10" s="460">
        <f t="shared" ref="L10:L21" si="5">H10/D10*100</f>
        <v>50.471828860263315</v>
      </c>
      <c r="O10" s="612"/>
    </row>
    <row r="11" spans="1:15" s="299" customFormat="1" ht="21.75" customHeight="1" x14ac:dyDescent="0.2">
      <c r="A11" s="253" t="s">
        <v>82</v>
      </c>
      <c r="B11" s="251">
        <v>1023123</v>
      </c>
      <c r="C11" s="251">
        <v>1096280</v>
      </c>
      <c r="D11" s="251">
        <f t="shared" si="2"/>
        <v>2119403</v>
      </c>
      <c r="E11" s="300"/>
      <c r="F11" s="255">
        <f t="shared" si="1"/>
        <v>838960.86</v>
      </c>
      <c r="G11" s="255">
        <f t="shared" si="3"/>
        <v>548140</v>
      </c>
      <c r="H11" s="255">
        <f t="shared" si="4"/>
        <v>1387100.8599999999</v>
      </c>
      <c r="I11" s="255"/>
      <c r="J11" s="460">
        <v>82</v>
      </c>
      <c r="K11" s="460">
        <v>50</v>
      </c>
      <c r="L11" s="460">
        <f t="shared" si="5"/>
        <v>65.447716172903398</v>
      </c>
    </row>
    <row r="12" spans="1:15" s="299" customFormat="1" ht="21.75" customHeight="1" x14ac:dyDescent="0.2">
      <c r="A12" s="253" t="s">
        <v>74</v>
      </c>
      <c r="B12" s="255">
        <v>836316</v>
      </c>
      <c r="C12" s="255">
        <v>414490</v>
      </c>
      <c r="D12" s="255">
        <f t="shared" si="2"/>
        <v>1250806</v>
      </c>
      <c r="E12" s="651"/>
      <c r="F12" s="255">
        <f t="shared" si="1"/>
        <v>811226.52</v>
      </c>
      <c r="G12" s="255">
        <f t="shared" si="3"/>
        <v>360606.3</v>
      </c>
      <c r="H12" s="251">
        <f t="shared" si="4"/>
        <v>1171832.82</v>
      </c>
      <c r="I12" s="251"/>
      <c r="J12" s="460">
        <v>97</v>
      </c>
      <c r="K12" s="460">
        <v>87</v>
      </c>
      <c r="L12" s="460">
        <f t="shared" si="5"/>
        <v>93.686216727454138</v>
      </c>
    </row>
    <row r="13" spans="1:15" s="298" customFormat="1" ht="21.75" customHeight="1" x14ac:dyDescent="0.2">
      <c r="A13" s="253" t="s">
        <v>81</v>
      </c>
      <c r="B13" s="255">
        <v>851628</v>
      </c>
      <c r="C13" s="255">
        <v>563406</v>
      </c>
      <c r="D13" s="255">
        <f t="shared" si="2"/>
        <v>1415034</v>
      </c>
      <c r="E13" s="300"/>
      <c r="F13" s="255">
        <f t="shared" si="1"/>
        <v>851628</v>
      </c>
      <c r="G13" s="255">
        <v>450724</v>
      </c>
      <c r="H13" s="255">
        <f t="shared" si="4"/>
        <v>1302352</v>
      </c>
      <c r="I13" s="255"/>
      <c r="J13" s="460">
        <v>100</v>
      </c>
      <c r="K13" s="460">
        <v>80</v>
      </c>
      <c r="L13" s="460">
        <f t="shared" si="5"/>
        <v>92.036799115780966</v>
      </c>
      <c r="O13" s="299"/>
    </row>
    <row r="14" spans="1:15" s="298" customFormat="1" ht="21.75" customHeight="1" x14ac:dyDescent="0.2">
      <c r="A14" s="253" t="s">
        <v>79</v>
      </c>
      <c r="B14" s="255">
        <v>738274</v>
      </c>
      <c r="C14" s="255">
        <v>898958</v>
      </c>
      <c r="D14" s="255">
        <f t="shared" si="2"/>
        <v>1637232</v>
      </c>
      <c r="E14" s="300"/>
      <c r="F14" s="255">
        <f t="shared" si="1"/>
        <v>575853.72</v>
      </c>
      <c r="G14" s="255">
        <f t="shared" si="3"/>
        <v>422510.26</v>
      </c>
      <c r="H14" s="255">
        <f t="shared" si="4"/>
        <v>998363.98</v>
      </c>
      <c r="I14" s="255"/>
      <c r="J14" s="460">
        <v>78</v>
      </c>
      <c r="K14" s="460">
        <v>47</v>
      </c>
      <c r="L14" s="460">
        <f t="shared" si="5"/>
        <v>60.978772709060166</v>
      </c>
      <c r="O14" s="299"/>
    </row>
    <row r="15" spans="1:15" s="298" customFormat="1" ht="21.75" customHeight="1" x14ac:dyDescent="0.2">
      <c r="A15" s="253" t="s">
        <v>83</v>
      </c>
      <c r="B15" s="255">
        <v>1078638</v>
      </c>
      <c r="C15" s="255">
        <v>431700</v>
      </c>
      <c r="D15" s="255">
        <f t="shared" si="2"/>
        <v>1510338</v>
      </c>
      <c r="E15" s="300"/>
      <c r="F15" s="255">
        <f t="shared" si="1"/>
        <v>1057065.24</v>
      </c>
      <c r="G15" s="255">
        <f t="shared" si="3"/>
        <v>353994</v>
      </c>
      <c r="H15" s="255">
        <f t="shared" si="4"/>
        <v>1411059.24</v>
      </c>
      <c r="I15" s="255"/>
      <c r="J15" s="460">
        <v>98</v>
      </c>
      <c r="K15" s="460">
        <v>82</v>
      </c>
      <c r="L15" s="460">
        <f t="shared" si="5"/>
        <v>93.426719052291602</v>
      </c>
      <c r="O15" s="299"/>
    </row>
    <row r="16" spans="1:15" s="298" customFormat="1" ht="21.75" customHeight="1" x14ac:dyDescent="0.2">
      <c r="A16" s="253" t="s">
        <v>84</v>
      </c>
      <c r="B16" s="255">
        <v>759071</v>
      </c>
      <c r="C16" s="255">
        <v>565960</v>
      </c>
      <c r="D16" s="255">
        <f>SUM(B16:C16)</f>
        <v>1325031</v>
      </c>
      <c r="E16" s="300"/>
      <c r="F16" s="255">
        <f t="shared" si="1"/>
        <v>618642.86499999999</v>
      </c>
      <c r="G16" s="255">
        <f t="shared" si="3"/>
        <v>350895.2</v>
      </c>
      <c r="H16" s="255">
        <f>SUM(F16:G16)</f>
        <v>969538.06499999994</v>
      </c>
      <c r="I16" s="255"/>
      <c r="J16" s="460">
        <v>81.5</v>
      </c>
      <c r="K16" s="460">
        <v>62</v>
      </c>
      <c r="L16" s="460">
        <f t="shared" si="5"/>
        <v>73.17097222631017</v>
      </c>
      <c r="O16" s="299"/>
    </row>
    <row r="17" spans="1:15" s="298" customFormat="1" ht="21.75" customHeight="1" x14ac:dyDescent="0.2">
      <c r="A17" s="253" t="s">
        <v>85</v>
      </c>
      <c r="B17" s="255">
        <v>388176</v>
      </c>
      <c r="C17" s="255">
        <v>447621</v>
      </c>
      <c r="D17" s="255">
        <f t="shared" si="2"/>
        <v>835797</v>
      </c>
      <c r="E17" s="300"/>
      <c r="F17" s="255">
        <f t="shared" si="1"/>
        <v>329949.59999999998</v>
      </c>
      <c r="G17" s="255">
        <f t="shared" si="3"/>
        <v>290953.65000000002</v>
      </c>
      <c r="H17" s="255">
        <v>620904</v>
      </c>
      <c r="I17" s="255"/>
      <c r="J17" s="460">
        <v>85</v>
      </c>
      <c r="K17" s="460">
        <v>65</v>
      </c>
      <c r="L17" s="460">
        <f t="shared" si="5"/>
        <v>74.288852436656271</v>
      </c>
      <c r="O17" s="299"/>
    </row>
    <row r="18" spans="1:15" s="298" customFormat="1" ht="21.75" customHeight="1" x14ac:dyDescent="0.2">
      <c r="A18" s="253" t="s">
        <v>86</v>
      </c>
      <c r="B18" s="255">
        <v>1380216</v>
      </c>
      <c r="C18" s="255">
        <v>770122</v>
      </c>
      <c r="D18" s="255">
        <f t="shared" si="2"/>
        <v>2150338</v>
      </c>
      <c r="E18" s="300"/>
      <c r="F18" s="255">
        <f t="shared" si="1"/>
        <v>1186985.76</v>
      </c>
      <c r="G18" s="255">
        <f t="shared" si="3"/>
        <v>177128.06</v>
      </c>
      <c r="H18" s="255">
        <f>SUM(F18:G18)</f>
        <v>1364113.82</v>
      </c>
      <c r="I18" s="255"/>
      <c r="J18" s="460">
        <v>86</v>
      </c>
      <c r="K18" s="460">
        <v>23</v>
      </c>
      <c r="L18" s="460">
        <f t="shared" si="5"/>
        <v>63.437181503558982</v>
      </c>
      <c r="O18" s="299"/>
    </row>
    <row r="19" spans="1:15" s="298" customFormat="1" ht="21.75" customHeight="1" x14ac:dyDescent="0.2">
      <c r="A19" s="253" t="s">
        <v>87</v>
      </c>
      <c r="B19" s="255">
        <v>843494</v>
      </c>
      <c r="C19" s="255">
        <v>298472</v>
      </c>
      <c r="D19" s="255">
        <f t="shared" si="2"/>
        <v>1141966</v>
      </c>
      <c r="E19" s="300"/>
      <c r="F19" s="255">
        <f t="shared" si="1"/>
        <v>784449.42</v>
      </c>
      <c r="G19" s="255">
        <f t="shared" si="3"/>
        <v>265640.08</v>
      </c>
      <c r="H19" s="255">
        <v>1050089</v>
      </c>
      <c r="I19" s="255"/>
      <c r="J19" s="460">
        <v>93</v>
      </c>
      <c r="K19" s="460">
        <v>89</v>
      </c>
      <c r="L19" s="460">
        <f t="shared" si="5"/>
        <v>91.954489012807741</v>
      </c>
      <c r="O19" s="299"/>
    </row>
    <row r="20" spans="1:15" s="298" customFormat="1" ht="21.75" customHeight="1" thickBot="1" x14ac:dyDescent="0.25">
      <c r="A20" s="256" t="s">
        <v>88</v>
      </c>
      <c r="B20" s="251">
        <v>2424321</v>
      </c>
      <c r="C20" s="251">
        <v>560752</v>
      </c>
      <c r="D20" s="251">
        <f t="shared" si="2"/>
        <v>2985073</v>
      </c>
      <c r="E20" s="651"/>
      <c r="F20" s="255">
        <f t="shared" si="1"/>
        <v>2181888.9</v>
      </c>
      <c r="G20" s="255">
        <f t="shared" si="3"/>
        <v>476639.2</v>
      </c>
      <c r="H20" s="255">
        <f>SUM(F20:G20)</f>
        <v>2658528.1</v>
      </c>
      <c r="I20" s="251"/>
      <c r="J20" s="460">
        <v>90</v>
      </c>
      <c r="K20" s="460">
        <v>85</v>
      </c>
      <c r="L20" s="460">
        <f t="shared" si="5"/>
        <v>89.060739888103242</v>
      </c>
      <c r="O20" s="299"/>
    </row>
    <row r="21" spans="1:15" ht="21.75" customHeight="1" thickTop="1" thickBot="1" x14ac:dyDescent="0.25">
      <c r="A21" s="265" t="s">
        <v>313</v>
      </c>
      <c r="B21" s="303">
        <f>SUM(B5:B20)</f>
        <v>22890581</v>
      </c>
      <c r="C21" s="303">
        <f>SUM(C5:C20)</f>
        <v>10787944</v>
      </c>
      <c r="D21" s="303">
        <f>SUM(D5:D20)</f>
        <v>33678525</v>
      </c>
      <c r="E21" s="302"/>
      <c r="F21" s="268">
        <f>SUM(F5:F20)</f>
        <v>21042293.415000003</v>
      </c>
      <c r="G21" s="268">
        <f>SUM(G5:G20)</f>
        <v>6921439.79</v>
      </c>
      <c r="H21" s="268">
        <f>SUM(H5:H20)</f>
        <v>27963734.324999999</v>
      </c>
      <c r="I21" s="268"/>
      <c r="J21" s="272">
        <f>F21/B21*100</f>
        <v>91.925554073966069</v>
      </c>
      <c r="K21" s="272">
        <f t="shared" ref="K21" si="6">G21/C21*100</f>
        <v>64.159025946000455</v>
      </c>
      <c r="L21" s="272">
        <f t="shared" si="5"/>
        <v>83.031351061247477</v>
      </c>
    </row>
    <row r="22" spans="1:15" ht="18" customHeight="1" thickTop="1" x14ac:dyDescent="0.2">
      <c r="A22" s="839" t="s">
        <v>271</v>
      </c>
      <c r="B22" s="839"/>
      <c r="C22" s="839"/>
      <c r="D22" s="839"/>
      <c r="E22" s="259"/>
      <c r="F22" s="270"/>
      <c r="G22" s="270"/>
      <c r="H22" s="270"/>
      <c r="I22" s="270"/>
      <c r="J22" s="261"/>
      <c r="K22" s="261"/>
      <c r="L22" s="261"/>
    </row>
    <row r="23" spans="1:15" ht="18" customHeight="1" x14ac:dyDescent="0.2">
      <c r="A23" s="832" t="s">
        <v>326</v>
      </c>
      <c r="B23" s="832"/>
      <c r="C23" s="832"/>
      <c r="D23" s="832"/>
      <c r="E23" s="832"/>
      <c r="F23" s="832"/>
      <c r="G23" s="832"/>
      <c r="H23" s="832"/>
      <c r="I23" s="832"/>
      <c r="J23" s="832"/>
      <c r="K23" s="521"/>
      <c r="L23" s="521"/>
      <c r="M23" s="521"/>
      <c r="N23" s="521"/>
    </row>
    <row r="24" spans="1:15" ht="18" customHeight="1" x14ac:dyDescent="0.2">
      <c r="A24" s="815" t="s">
        <v>327</v>
      </c>
      <c r="B24" s="815"/>
      <c r="C24" s="815"/>
      <c r="D24" s="815"/>
      <c r="E24" s="815"/>
      <c r="F24" s="815"/>
      <c r="G24" s="815"/>
      <c r="H24" s="815"/>
      <c r="I24" s="815"/>
      <c r="J24" s="815"/>
      <c r="K24" s="815"/>
      <c r="L24" s="815"/>
      <c r="M24" s="815"/>
      <c r="N24" s="815"/>
      <c r="O24" s="248"/>
    </row>
    <row r="25" spans="1:15" ht="18" customHeight="1" thickBot="1" x14ac:dyDescent="0.25">
      <c r="A25" s="815"/>
      <c r="B25" s="815"/>
      <c r="C25" s="815"/>
      <c r="D25" s="815"/>
      <c r="E25" s="815"/>
      <c r="F25" s="815"/>
      <c r="G25" s="815"/>
      <c r="H25" s="815"/>
      <c r="I25" s="815"/>
      <c r="J25" s="815"/>
      <c r="K25" s="815"/>
      <c r="L25" s="815"/>
      <c r="M25" s="815"/>
      <c r="N25" s="815"/>
      <c r="O25" s="248"/>
    </row>
    <row r="26" spans="1:15" ht="18" customHeight="1" x14ac:dyDescent="0.2">
      <c r="A26" s="811" t="s">
        <v>255</v>
      </c>
      <c r="B26" s="811"/>
      <c r="C26" s="811"/>
      <c r="D26" s="811"/>
      <c r="E26" s="811"/>
      <c r="F26" s="811"/>
      <c r="G26" s="811"/>
      <c r="H26" s="811"/>
      <c r="I26" s="522"/>
      <c r="J26" s="301"/>
      <c r="K26" s="301"/>
      <c r="L26" s="324">
        <v>31</v>
      </c>
    </row>
    <row r="27" spans="1:15" ht="18" customHeight="1" x14ac:dyDescent="0.2"/>
    <row r="28" spans="1:15" ht="18" customHeight="1" x14ac:dyDescent="0.2"/>
    <row r="31" spans="1:15" x14ac:dyDescent="0.2">
      <c r="B31" s="246">
        <v>2171451.84</v>
      </c>
      <c r="C31" s="246">
        <v>1057009.68</v>
      </c>
      <c r="D31" s="246">
        <v>3228461.5199999996</v>
      </c>
    </row>
    <row r="32" spans="1:15" x14ac:dyDescent="0.2">
      <c r="B32" s="246">
        <v>1086617.52</v>
      </c>
      <c r="C32" s="246">
        <v>345919.1</v>
      </c>
      <c r="D32" s="246">
        <v>1432536.62</v>
      </c>
    </row>
    <row r="33" spans="2:4" x14ac:dyDescent="0.2">
      <c r="B33" s="246">
        <v>805537</v>
      </c>
      <c r="C33" s="246">
        <v>623766.75</v>
      </c>
      <c r="D33" s="246">
        <v>1429303.75</v>
      </c>
    </row>
    <row r="34" spans="2:4" x14ac:dyDescent="0.2">
      <c r="B34" s="246">
        <v>797503.5</v>
      </c>
      <c r="C34" s="246">
        <v>619878.69999999995</v>
      </c>
      <c r="D34" s="246">
        <v>1417383</v>
      </c>
    </row>
    <row r="35" spans="2:4" x14ac:dyDescent="0.2">
      <c r="B35" s="246">
        <v>5993043</v>
      </c>
      <c r="C35" s="246">
        <v>0</v>
      </c>
      <c r="D35" s="246">
        <v>5993043</v>
      </c>
    </row>
    <row r="36" spans="2:4" x14ac:dyDescent="0.2">
      <c r="B36" s="246">
        <v>670314.6</v>
      </c>
      <c r="C36" s="246">
        <v>406608.4</v>
      </c>
      <c r="D36" s="246">
        <v>1076923</v>
      </c>
    </row>
    <row r="37" spans="2:4" x14ac:dyDescent="0.2">
      <c r="B37" s="246">
        <v>797508</v>
      </c>
      <c r="C37" s="246">
        <v>534078.5</v>
      </c>
      <c r="D37" s="246">
        <v>1331586.5</v>
      </c>
    </row>
    <row r="38" spans="2:4" x14ac:dyDescent="0.2">
      <c r="B38" s="246">
        <v>782277.12</v>
      </c>
      <c r="C38" s="246">
        <v>347319.6</v>
      </c>
      <c r="D38" s="246">
        <v>1129596.72</v>
      </c>
    </row>
    <row r="39" spans="2:4" x14ac:dyDescent="0.2">
      <c r="B39" s="246">
        <v>788293.85</v>
      </c>
      <c r="C39" s="246">
        <v>439152</v>
      </c>
      <c r="D39" s="246">
        <v>1227445.8500000001</v>
      </c>
    </row>
    <row r="40" spans="2:4" x14ac:dyDescent="0.2">
      <c r="B40" s="246">
        <v>539505.75</v>
      </c>
      <c r="C40" s="246">
        <v>376634.42</v>
      </c>
      <c r="D40" s="246">
        <v>916140.16999999993</v>
      </c>
    </row>
    <row r="41" spans="2:4" x14ac:dyDescent="0.2">
      <c r="B41" s="246">
        <v>1029946.68</v>
      </c>
      <c r="C41" s="246">
        <v>344913.32</v>
      </c>
      <c r="D41" s="246">
        <v>1374860</v>
      </c>
    </row>
    <row r="42" spans="2:4" x14ac:dyDescent="0.2">
      <c r="B42" s="246">
        <v>606472.81999999995</v>
      </c>
      <c r="C42" s="246">
        <v>347411.61</v>
      </c>
      <c r="D42" s="246">
        <v>953885</v>
      </c>
    </row>
    <row r="43" spans="2:4" x14ac:dyDescent="0.2">
      <c r="B43" s="246">
        <v>329151.37</v>
      </c>
      <c r="C43" s="246">
        <v>293395.08</v>
      </c>
      <c r="D43" s="246">
        <v>622546.44999999995</v>
      </c>
    </row>
    <row r="44" spans="2:4" x14ac:dyDescent="0.2">
      <c r="B44" s="246">
        <v>1156536.6000000001</v>
      </c>
      <c r="C44" s="246">
        <v>172583.26</v>
      </c>
      <c r="D44" s="246">
        <v>1329119.8600000001</v>
      </c>
    </row>
    <row r="45" spans="2:4" x14ac:dyDescent="0.2">
      <c r="B45" s="246">
        <v>764323.29</v>
      </c>
      <c r="C45" s="246">
        <v>258829.8</v>
      </c>
      <c r="D45" s="246">
        <v>1023153.0900000001</v>
      </c>
    </row>
    <row r="46" spans="2:4" x14ac:dyDescent="0.2">
      <c r="B46" s="246">
        <v>2125910.7000000002</v>
      </c>
      <c r="C46" s="246">
        <v>491731.20000000001</v>
      </c>
      <c r="D46" s="246">
        <v>2617641.9000000004</v>
      </c>
    </row>
    <row r="48" spans="2:4" x14ac:dyDescent="0.2">
      <c r="B48" s="593">
        <f>SUM(B31:B47)</f>
        <v>20444393.639999997</v>
      </c>
      <c r="C48" s="593">
        <f>SUM(C31:C47)</f>
        <v>6659231.4199999999</v>
      </c>
      <c r="D48" s="593">
        <f>SUM(D31:D47)</f>
        <v>27103626.43</v>
      </c>
    </row>
  </sheetData>
  <mergeCells count="12">
    <mergeCell ref="A1:L1"/>
    <mergeCell ref="A2:L2"/>
    <mergeCell ref="A3:A4"/>
    <mergeCell ref="B3:D3"/>
    <mergeCell ref="F3:H3"/>
    <mergeCell ref="I3:I4"/>
    <mergeCell ref="J3:L3"/>
    <mergeCell ref="A26:H26"/>
    <mergeCell ref="A25:N25"/>
    <mergeCell ref="A24:N24"/>
    <mergeCell ref="A23:J23"/>
    <mergeCell ref="A22:D2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52"/>
  <sheetViews>
    <sheetView rightToLeft="1" view="pageBreakPreview" zoomScale="90" zoomScaleSheetLayoutView="90" workbookViewId="0">
      <selection activeCell="G22" sqref="G22"/>
    </sheetView>
  </sheetViews>
  <sheetFormatPr defaultColWidth="10.42578125" defaultRowHeight="14.25" x14ac:dyDescent="0.2"/>
  <cols>
    <col min="1" max="8" width="17.28515625" style="293" customWidth="1"/>
    <col min="9" max="9" width="14.5703125" style="293" bestFit="1" customWidth="1"/>
    <col min="10" max="10" width="12.7109375" style="293" bestFit="1" customWidth="1"/>
    <col min="11" max="11" width="14.7109375" style="293" customWidth="1"/>
    <col min="12" max="12" width="17.85546875" style="293" customWidth="1"/>
    <col min="13" max="16384" width="10.42578125" style="293"/>
  </cols>
  <sheetData>
    <row r="1" spans="1:13" ht="29.25" customHeight="1" x14ac:dyDescent="0.2">
      <c r="A1" s="846" t="s">
        <v>444</v>
      </c>
      <c r="B1" s="846"/>
      <c r="C1" s="846"/>
      <c r="D1" s="846"/>
      <c r="E1" s="846"/>
      <c r="F1" s="846"/>
      <c r="G1" s="846"/>
      <c r="H1" s="846"/>
    </row>
    <row r="2" spans="1:13" ht="29.25" customHeight="1" thickBot="1" x14ac:dyDescent="0.25">
      <c r="A2" s="847" t="s">
        <v>501</v>
      </c>
      <c r="B2" s="847"/>
      <c r="C2" s="847"/>
      <c r="D2" s="847"/>
      <c r="E2" s="847"/>
      <c r="F2" s="847"/>
      <c r="G2" s="847"/>
      <c r="H2" s="847"/>
    </row>
    <row r="3" spans="1:13" ht="35.25" customHeight="1" thickTop="1" x14ac:dyDescent="0.2">
      <c r="A3" s="848" t="s">
        <v>75</v>
      </c>
      <c r="B3" s="848" t="s">
        <v>270</v>
      </c>
      <c r="C3" s="850" t="s">
        <v>333</v>
      </c>
      <c r="D3" s="850"/>
      <c r="E3" s="850"/>
      <c r="F3" s="848" t="s">
        <v>390</v>
      </c>
      <c r="G3" s="848" t="s">
        <v>388</v>
      </c>
      <c r="H3" s="848" t="s">
        <v>413</v>
      </c>
      <c r="I3" s="445"/>
      <c r="J3" s="446"/>
      <c r="K3" s="446"/>
      <c r="L3" s="446"/>
    </row>
    <row r="4" spans="1:13" ht="25.5" customHeight="1" x14ac:dyDescent="0.2">
      <c r="A4" s="849"/>
      <c r="B4" s="849"/>
      <c r="C4" s="292" t="s">
        <v>274</v>
      </c>
      <c r="D4" s="296" t="s">
        <v>91</v>
      </c>
      <c r="E4" s="297" t="s">
        <v>217</v>
      </c>
      <c r="F4" s="849"/>
      <c r="G4" s="849"/>
      <c r="H4" s="849"/>
    </row>
    <row r="5" spans="1:13" s="720" customFormat="1" ht="21" customHeight="1" x14ac:dyDescent="0.2">
      <c r="A5" s="628" t="s">
        <v>76</v>
      </c>
      <c r="B5" s="255">
        <f>'17'!D5</f>
        <v>3828197</v>
      </c>
      <c r="C5" s="255">
        <v>1008319.9</v>
      </c>
      <c r="D5" s="255">
        <v>432137.1</v>
      </c>
      <c r="E5" s="625">
        <f t="shared" ref="E5:E20" si="0">SUM(C5:D5)</f>
        <v>1440457</v>
      </c>
      <c r="F5" s="456">
        <v>0</v>
      </c>
      <c r="G5" s="456">
        <f>E5+F5</f>
        <v>1440457</v>
      </c>
      <c r="H5" s="551">
        <f>G5/B5*1000</f>
        <v>376.27556784564644</v>
      </c>
      <c r="I5" s="719"/>
      <c r="K5" s="721"/>
      <c r="L5" s="616"/>
      <c r="M5" s="722"/>
    </row>
    <row r="6" spans="1:13" s="299" customFormat="1" ht="21" customHeight="1" x14ac:dyDescent="0.25">
      <c r="A6" s="628" t="s">
        <v>77</v>
      </c>
      <c r="B6" s="255">
        <f>'17'!D6</f>
        <v>1639953</v>
      </c>
      <c r="C6" s="342">
        <v>372186</v>
      </c>
      <c r="D6" s="342">
        <v>41354</v>
      </c>
      <c r="E6" s="343">
        <f t="shared" si="0"/>
        <v>413540</v>
      </c>
      <c r="F6" s="456">
        <v>72</v>
      </c>
      <c r="G6" s="456">
        <f t="shared" ref="G6:G12" si="1">SUM(E6:F6)</f>
        <v>413612</v>
      </c>
      <c r="H6" s="551">
        <f t="shared" ref="H6:H11" si="2">G6/B6*1000</f>
        <v>252.20966698435871</v>
      </c>
      <c r="I6" s="613"/>
      <c r="J6" s="614"/>
      <c r="K6" s="626"/>
      <c r="L6" s="616"/>
      <c r="M6" s="615"/>
    </row>
    <row r="7" spans="1:13" s="299" customFormat="1" ht="21" customHeight="1" x14ac:dyDescent="0.25">
      <c r="A7" s="253" t="s">
        <v>78</v>
      </c>
      <c r="B7" s="255">
        <f>'17'!D7</f>
        <v>1680328</v>
      </c>
      <c r="C7" s="342">
        <v>312924</v>
      </c>
      <c r="D7" s="342">
        <v>104308</v>
      </c>
      <c r="E7" s="343">
        <f t="shared" si="0"/>
        <v>417232</v>
      </c>
      <c r="F7" s="255">
        <v>43640</v>
      </c>
      <c r="G7" s="255">
        <f t="shared" si="1"/>
        <v>460872</v>
      </c>
      <c r="H7" s="551">
        <f>G7/B7*1000</f>
        <v>274.27502249560797</v>
      </c>
      <c r="I7" s="613"/>
      <c r="J7" s="614"/>
      <c r="K7" s="626"/>
      <c r="L7" s="616"/>
      <c r="M7" s="615"/>
    </row>
    <row r="8" spans="1:13" s="299" customFormat="1" ht="21" customHeight="1" x14ac:dyDescent="0.25">
      <c r="A8" s="253" t="s">
        <v>336</v>
      </c>
      <c r="B8" s="255">
        <f>'17'!D8</f>
        <v>1818318</v>
      </c>
      <c r="C8" s="342">
        <v>202611</v>
      </c>
      <c r="D8" s="342">
        <v>159194</v>
      </c>
      <c r="E8" s="625">
        <f t="shared" si="0"/>
        <v>361805</v>
      </c>
      <c r="F8" s="255">
        <v>0</v>
      </c>
      <c r="G8" s="255">
        <f t="shared" si="1"/>
        <v>361805</v>
      </c>
      <c r="H8" s="551">
        <f t="shared" si="2"/>
        <v>198.97784655929271</v>
      </c>
      <c r="I8" s="613"/>
      <c r="J8" s="614"/>
      <c r="K8" s="626"/>
      <c r="L8" s="616"/>
      <c r="M8" s="615"/>
    </row>
    <row r="9" spans="1:13" s="299" customFormat="1" ht="21" customHeight="1" x14ac:dyDescent="0.25">
      <c r="A9" s="253" t="s">
        <v>89</v>
      </c>
      <c r="B9" s="255">
        <f>'17'!D9</f>
        <v>6150828</v>
      </c>
      <c r="C9" s="342">
        <f>'16'!G8</f>
        <v>2900584.52</v>
      </c>
      <c r="D9" s="342">
        <v>0</v>
      </c>
      <c r="E9" s="343">
        <f t="shared" si="0"/>
        <v>2900584.52</v>
      </c>
      <c r="F9" s="255">
        <v>1620</v>
      </c>
      <c r="G9" s="255">
        <f>SUM(E9:F9)</f>
        <v>2902204.52</v>
      </c>
      <c r="H9" s="551">
        <f t="shared" si="2"/>
        <v>471.83964825548691</v>
      </c>
      <c r="I9" s="613"/>
      <c r="J9" s="614"/>
      <c r="K9" s="615"/>
      <c r="L9" s="616"/>
      <c r="M9" s="615"/>
    </row>
    <row r="10" spans="1:13" s="299" customFormat="1" ht="21" customHeight="1" x14ac:dyDescent="0.25">
      <c r="A10" s="253" t="s">
        <v>80</v>
      </c>
      <c r="B10" s="255">
        <f>'17'!D10</f>
        <v>2189883</v>
      </c>
      <c r="C10" s="342">
        <v>280525.8</v>
      </c>
      <c r="D10" s="342">
        <v>187017.2</v>
      </c>
      <c r="E10" s="343">
        <f t="shared" si="0"/>
        <v>467543</v>
      </c>
      <c r="F10" s="255">
        <v>0</v>
      </c>
      <c r="G10" s="255">
        <f t="shared" si="1"/>
        <v>467543</v>
      </c>
      <c r="H10" s="551">
        <f t="shared" si="2"/>
        <v>213.50136057497136</v>
      </c>
      <c r="I10" s="613"/>
      <c r="J10" s="614"/>
      <c r="K10" s="626"/>
      <c r="L10" s="616"/>
      <c r="M10" s="615"/>
    </row>
    <row r="11" spans="1:13" s="299" customFormat="1" ht="21.75" customHeight="1" x14ac:dyDescent="0.25">
      <c r="A11" s="253" t="s">
        <v>82</v>
      </c>
      <c r="B11" s="255">
        <f>'17'!D11</f>
        <v>2119403</v>
      </c>
      <c r="C11" s="342">
        <v>547047</v>
      </c>
      <c r="D11" s="342">
        <v>136762</v>
      </c>
      <c r="E11" s="343">
        <f t="shared" si="0"/>
        <v>683809</v>
      </c>
      <c r="F11" s="255">
        <v>0</v>
      </c>
      <c r="G11" s="255">
        <f t="shared" si="1"/>
        <v>683809</v>
      </c>
      <c r="H11" s="551">
        <f t="shared" si="2"/>
        <v>322.64227237575864</v>
      </c>
      <c r="I11" s="613"/>
      <c r="J11" s="615"/>
      <c r="K11" s="615"/>
      <c r="L11" s="616"/>
      <c r="M11" s="615"/>
    </row>
    <row r="12" spans="1:13" s="299" customFormat="1" ht="21" customHeight="1" x14ac:dyDescent="0.25">
      <c r="A12" s="253" t="s">
        <v>74</v>
      </c>
      <c r="B12" s="255">
        <f>'17'!D12</f>
        <v>1250806</v>
      </c>
      <c r="C12" s="342">
        <v>256843.8</v>
      </c>
      <c r="D12" s="342">
        <v>171229.2</v>
      </c>
      <c r="E12" s="343">
        <f t="shared" si="0"/>
        <v>428073</v>
      </c>
      <c r="F12" s="251">
        <v>0</v>
      </c>
      <c r="G12" s="251">
        <f t="shared" si="1"/>
        <v>428073</v>
      </c>
      <c r="H12" s="551">
        <f>G12/B12*1000</f>
        <v>342.23772511484594</v>
      </c>
      <c r="I12" s="613"/>
      <c r="J12" s="614"/>
      <c r="K12" s="615"/>
      <c r="L12" s="616"/>
      <c r="M12" s="615"/>
    </row>
    <row r="13" spans="1:13" s="298" customFormat="1" ht="21" customHeight="1" x14ac:dyDescent="0.25">
      <c r="A13" s="253" t="s">
        <v>81</v>
      </c>
      <c r="B13" s="255">
        <f>'17'!D13</f>
        <v>1415034</v>
      </c>
      <c r="C13" s="342">
        <v>354631.2</v>
      </c>
      <c r="D13" s="342">
        <v>236420.8</v>
      </c>
      <c r="E13" s="343">
        <f t="shared" si="0"/>
        <v>591052</v>
      </c>
      <c r="F13" s="255">
        <v>50000</v>
      </c>
      <c r="G13" s="255">
        <f>SUM(E13:F13)</f>
        <v>641052</v>
      </c>
      <c r="H13" s="551">
        <f>G13/B13*1000</f>
        <v>453.02939717349551</v>
      </c>
      <c r="I13" s="613"/>
      <c r="J13" s="615"/>
      <c r="K13" s="619"/>
      <c r="L13" s="616"/>
      <c r="M13" s="615"/>
    </row>
    <row r="14" spans="1:13" s="298" customFormat="1" ht="21" customHeight="1" x14ac:dyDescent="0.25">
      <c r="A14" s="253" t="s">
        <v>79</v>
      </c>
      <c r="B14" s="255">
        <f>'17'!D14</f>
        <v>1637232</v>
      </c>
      <c r="C14" s="342">
        <v>88536.5</v>
      </c>
      <c r="D14" s="342">
        <v>47673</v>
      </c>
      <c r="E14" s="343">
        <f t="shared" si="0"/>
        <v>136209.5</v>
      </c>
      <c r="F14" s="255">
        <v>200452</v>
      </c>
      <c r="G14" s="255">
        <f>SUM(E14:F14)</f>
        <v>336661.5</v>
      </c>
      <c r="H14" s="551">
        <f t="shared" ref="H14:H20" si="3">G14/B14*1000</f>
        <v>205.62846316221524</v>
      </c>
      <c r="I14" s="613"/>
      <c r="J14" s="615"/>
      <c r="K14" s="643"/>
      <c r="L14" s="616"/>
      <c r="M14" s="615"/>
    </row>
    <row r="15" spans="1:13" s="298" customFormat="1" ht="21" customHeight="1" x14ac:dyDescent="0.25">
      <c r="A15" s="253" t="s">
        <v>83</v>
      </c>
      <c r="B15" s="255">
        <f>'17'!D15</f>
        <v>1510338</v>
      </c>
      <c r="C15" s="342">
        <v>354182</v>
      </c>
      <c r="D15" s="342">
        <v>137738</v>
      </c>
      <c r="E15" s="343">
        <f t="shared" si="0"/>
        <v>491920</v>
      </c>
      <c r="F15" s="255">
        <v>3000</v>
      </c>
      <c r="G15" s="255">
        <f>SUM(E15:F15)</f>
        <v>494920</v>
      </c>
      <c r="H15" s="551">
        <f t="shared" si="3"/>
        <v>327.68823932126452</v>
      </c>
      <c r="I15" s="613"/>
      <c r="J15" s="615"/>
      <c r="K15" s="619"/>
      <c r="L15" s="616"/>
      <c r="M15" s="615"/>
    </row>
    <row r="16" spans="1:13" s="298" customFormat="1" ht="21" customHeight="1" x14ac:dyDescent="0.25">
      <c r="A16" s="253" t="s">
        <v>84</v>
      </c>
      <c r="B16" s="255">
        <f>'17'!D16</f>
        <v>1325031</v>
      </c>
      <c r="C16" s="342">
        <v>169170</v>
      </c>
      <c r="D16" s="342">
        <v>112780</v>
      </c>
      <c r="E16" s="343">
        <f t="shared" si="0"/>
        <v>281950</v>
      </c>
      <c r="F16" s="255">
        <v>20030</v>
      </c>
      <c r="G16" s="255">
        <f t="shared" ref="G16:G20" si="4">SUM(E16:F16)</f>
        <v>301980</v>
      </c>
      <c r="H16" s="551">
        <f>G16/B16*1000</f>
        <v>227.90410186629595</v>
      </c>
      <c r="I16" s="613"/>
      <c r="J16" s="615"/>
      <c r="K16" s="619"/>
      <c r="L16" s="616"/>
      <c r="M16" s="615"/>
    </row>
    <row r="17" spans="1:13" s="298" customFormat="1" ht="21" customHeight="1" x14ac:dyDescent="0.25">
      <c r="A17" s="253" t="s">
        <v>85</v>
      </c>
      <c r="B17" s="255">
        <f>'17'!D17</f>
        <v>835797</v>
      </c>
      <c r="C17" s="342">
        <v>109680</v>
      </c>
      <c r="D17" s="342">
        <v>47006</v>
      </c>
      <c r="E17" s="343">
        <f t="shared" si="0"/>
        <v>156686</v>
      </c>
      <c r="F17" s="255">
        <v>0</v>
      </c>
      <c r="G17" s="255">
        <f t="shared" si="4"/>
        <v>156686</v>
      </c>
      <c r="H17" s="551">
        <f>G17/B17*1000</f>
        <v>187.46896674671001</v>
      </c>
      <c r="I17" s="613"/>
      <c r="J17" s="614"/>
      <c r="K17" s="639"/>
      <c r="L17" s="616"/>
      <c r="M17" s="615"/>
    </row>
    <row r="18" spans="1:13" s="298" customFormat="1" ht="21" customHeight="1" x14ac:dyDescent="0.25">
      <c r="A18" s="253" t="s">
        <v>86</v>
      </c>
      <c r="B18" s="255">
        <f>'17'!D18</f>
        <v>2150338</v>
      </c>
      <c r="C18" s="342">
        <v>524791</v>
      </c>
      <c r="D18" s="342">
        <v>85431.091199999995</v>
      </c>
      <c r="E18" s="343">
        <f t="shared" si="0"/>
        <v>610222.09120000002</v>
      </c>
      <c r="F18" s="255">
        <v>1094</v>
      </c>
      <c r="G18" s="255">
        <f t="shared" si="4"/>
        <v>611316.09120000002</v>
      </c>
      <c r="H18" s="551">
        <f t="shared" si="3"/>
        <v>284.28837289765613</v>
      </c>
      <c r="I18" s="613"/>
      <c r="J18" s="255"/>
      <c r="K18" s="639"/>
      <c r="L18" s="616"/>
      <c r="M18" s="615"/>
    </row>
    <row r="19" spans="1:13" s="298" customFormat="1" ht="21" customHeight="1" x14ac:dyDescent="0.25">
      <c r="A19" s="253" t="s">
        <v>87</v>
      </c>
      <c r="B19" s="255">
        <f>'17'!D19</f>
        <v>1141966</v>
      </c>
      <c r="C19" s="342">
        <v>381016</v>
      </c>
      <c r="D19" s="342">
        <v>205162</v>
      </c>
      <c r="E19" s="343">
        <f t="shared" si="0"/>
        <v>586178</v>
      </c>
      <c r="F19" s="255">
        <v>125</v>
      </c>
      <c r="G19" s="255">
        <f t="shared" si="4"/>
        <v>586303</v>
      </c>
      <c r="H19" s="551">
        <f t="shared" si="3"/>
        <v>513.41546070548509</v>
      </c>
      <c r="I19" s="613"/>
      <c r="J19" s="615"/>
      <c r="K19" s="619"/>
      <c r="L19" s="616"/>
      <c r="M19" s="615"/>
    </row>
    <row r="20" spans="1:13" s="298" customFormat="1" ht="21" customHeight="1" thickBot="1" x14ac:dyDescent="0.3">
      <c r="A20" s="256" t="s">
        <v>88</v>
      </c>
      <c r="B20" s="255">
        <f>'17'!D20</f>
        <v>2985073</v>
      </c>
      <c r="C20" s="342">
        <v>959414.43</v>
      </c>
      <c r="D20" s="342">
        <v>196506.57</v>
      </c>
      <c r="E20" s="343">
        <f t="shared" si="0"/>
        <v>1155921</v>
      </c>
      <c r="F20" s="251">
        <v>0</v>
      </c>
      <c r="G20" s="251">
        <f t="shared" si="4"/>
        <v>1155921</v>
      </c>
      <c r="H20" s="551">
        <f t="shared" si="3"/>
        <v>387.2337460423916</v>
      </c>
      <c r="I20" s="613"/>
      <c r="J20" s="614"/>
      <c r="K20" s="652"/>
      <c r="L20" s="616"/>
      <c r="M20" s="615"/>
    </row>
    <row r="21" spans="1:13" s="246" customFormat="1" ht="21" customHeight="1" thickTop="1" thickBot="1" x14ac:dyDescent="0.3">
      <c r="A21" s="265" t="s">
        <v>313</v>
      </c>
      <c r="B21" s="303">
        <f t="shared" ref="B21:G21" si="5">SUM(B5:B20)</f>
        <v>33678525</v>
      </c>
      <c r="C21" s="268">
        <f t="shared" si="5"/>
        <v>8822463.1500000004</v>
      </c>
      <c r="D21" s="268">
        <f t="shared" si="5"/>
        <v>2300718.9611999998</v>
      </c>
      <c r="E21" s="268">
        <f t="shared" si="5"/>
        <v>11123182.111199999</v>
      </c>
      <c r="F21" s="268">
        <f t="shared" si="5"/>
        <v>320033</v>
      </c>
      <c r="G21" s="268">
        <f t="shared" si="5"/>
        <v>11443215.111199999</v>
      </c>
      <c r="H21" s="379">
        <f>G21/B21*1000</f>
        <v>339.7777993899673</v>
      </c>
      <c r="I21" s="447"/>
      <c r="J21" s="448"/>
      <c r="K21" s="448"/>
      <c r="L21" s="464"/>
      <c r="M21" s="448"/>
    </row>
    <row r="22" spans="1:13" s="246" customFormat="1" ht="21" customHeight="1" thickTop="1" x14ac:dyDescent="0.2">
      <c r="A22" s="839" t="s">
        <v>271</v>
      </c>
      <c r="B22" s="839"/>
      <c r="C22" s="839"/>
      <c r="D22" s="839"/>
      <c r="E22" s="839"/>
      <c r="F22" s="262"/>
      <c r="G22" s="262"/>
      <c r="H22" s="248"/>
      <c r="I22" s="451"/>
      <c r="J22" s="448"/>
      <c r="K22" s="450"/>
      <c r="L22" s="450"/>
      <c r="M22" s="450"/>
    </row>
    <row r="23" spans="1:13" s="246" customFormat="1" ht="18" customHeight="1" x14ac:dyDescent="0.2">
      <c r="A23" s="832" t="s">
        <v>326</v>
      </c>
      <c r="B23" s="832"/>
      <c r="C23" s="832"/>
      <c r="D23" s="832"/>
      <c r="E23" s="832"/>
      <c r="F23" s="832"/>
      <c r="G23" s="248"/>
      <c r="I23" s="450"/>
      <c r="J23" s="450"/>
      <c r="K23" s="450"/>
      <c r="L23" s="450"/>
      <c r="M23" s="450"/>
    </row>
    <row r="24" spans="1:13" s="246" customFormat="1" ht="21" customHeight="1" x14ac:dyDescent="0.2">
      <c r="A24" s="815" t="s">
        <v>327</v>
      </c>
      <c r="B24" s="815"/>
      <c r="C24" s="815"/>
      <c r="D24" s="815"/>
      <c r="E24" s="815"/>
      <c r="F24" s="815"/>
      <c r="G24" s="543"/>
      <c r="H24" s="248"/>
      <c r="I24" s="450"/>
      <c r="J24" s="450"/>
      <c r="K24" s="450"/>
      <c r="L24" s="450"/>
      <c r="M24" s="450"/>
    </row>
    <row r="25" spans="1:13" s="246" customFormat="1" ht="21" customHeight="1" thickBot="1" x14ac:dyDescent="0.25">
      <c r="G25" s="544"/>
      <c r="H25" s="248"/>
      <c r="I25" s="450"/>
      <c r="J25" s="450"/>
      <c r="K25" s="450"/>
      <c r="L25" s="450"/>
      <c r="M25" s="450"/>
    </row>
    <row r="26" spans="1:13" ht="21" customHeight="1" x14ac:dyDescent="0.2">
      <c r="A26" s="811" t="s">
        <v>255</v>
      </c>
      <c r="B26" s="811"/>
      <c r="C26" s="811"/>
      <c r="D26" s="295"/>
      <c r="E26" s="295"/>
      <c r="F26" s="295"/>
      <c r="G26" s="295"/>
      <c r="H26" s="325">
        <v>32</v>
      </c>
      <c r="I26" s="452"/>
      <c r="J26" s="453"/>
      <c r="K26" s="446"/>
      <c r="L26" s="446"/>
      <c r="M26" s="446"/>
    </row>
    <row r="27" spans="1:13" x14ac:dyDescent="0.2">
      <c r="H27" s="294"/>
      <c r="I27" s="294"/>
    </row>
    <row r="28" spans="1:13" x14ac:dyDescent="0.2">
      <c r="H28" s="294"/>
      <c r="I28" s="294"/>
    </row>
    <row r="29" spans="1:13" x14ac:dyDescent="0.2">
      <c r="H29" s="294"/>
      <c r="I29" s="294"/>
    </row>
    <row r="30" spans="1:13" x14ac:dyDescent="0.2">
      <c r="C30" s="461">
        <v>1058558.44</v>
      </c>
      <c r="D30" s="461">
        <v>336989.13</v>
      </c>
      <c r="E30" s="461">
        <v>1395547.5699999998</v>
      </c>
      <c r="G30" s="461">
        <v>467543</v>
      </c>
      <c r="H30" s="294"/>
      <c r="I30" s="294"/>
    </row>
    <row r="31" spans="1:13" x14ac:dyDescent="0.2">
      <c r="C31" s="461">
        <v>784734</v>
      </c>
      <c r="D31" s="461">
        <v>640064.31999999995</v>
      </c>
      <c r="E31" s="461">
        <v>1424798.3199999998</v>
      </c>
      <c r="G31" s="461">
        <f>G30*60/100</f>
        <v>280525.8</v>
      </c>
      <c r="H31" s="294"/>
      <c r="I31" s="294"/>
    </row>
    <row r="32" spans="1:13" x14ac:dyDescent="0.2">
      <c r="C32" s="461">
        <v>0</v>
      </c>
      <c r="D32" s="461">
        <v>0</v>
      </c>
      <c r="E32" s="461">
        <v>2820345.8899999997</v>
      </c>
      <c r="G32" s="461">
        <f>G30*40/100</f>
        <v>187017.2</v>
      </c>
      <c r="H32" s="294"/>
      <c r="I32" s="294"/>
    </row>
    <row r="33" spans="3:9" x14ac:dyDescent="0.2">
      <c r="C33" s="461">
        <v>5838251</v>
      </c>
      <c r="D33" s="461">
        <v>0</v>
      </c>
      <c r="E33" s="461">
        <v>5838251</v>
      </c>
      <c r="H33" s="294"/>
      <c r="I33" s="294"/>
    </row>
    <row r="34" spans="3:9" x14ac:dyDescent="0.2">
      <c r="C34" s="461">
        <v>653000.4</v>
      </c>
      <c r="D34" s="461">
        <v>396104.8</v>
      </c>
      <c r="E34" s="461">
        <v>1049105.2</v>
      </c>
      <c r="H34" s="294"/>
      <c r="I34" s="294"/>
    </row>
    <row r="35" spans="3:9" x14ac:dyDescent="0.2">
      <c r="C35" s="461">
        <v>776909.6</v>
      </c>
      <c r="D35" s="461">
        <v>593124.32999999996</v>
      </c>
      <c r="E35" s="461">
        <v>6887356.2000000002</v>
      </c>
      <c r="H35" s="294"/>
      <c r="I35" s="294"/>
    </row>
    <row r="36" spans="3:9" x14ac:dyDescent="0.2">
      <c r="C36" s="461">
        <v>762063.35999999999</v>
      </c>
      <c r="D36" s="461">
        <v>338348.94</v>
      </c>
      <c r="E36" s="461">
        <v>1100412.3</v>
      </c>
      <c r="H36" s="294"/>
      <c r="I36" s="294"/>
    </row>
    <row r="37" spans="3:9" x14ac:dyDescent="0.2">
      <c r="C37" s="461">
        <v>727523.1</v>
      </c>
      <c r="D37" s="461">
        <v>347597.9</v>
      </c>
      <c r="E37" s="461">
        <v>1075121</v>
      </c>
      <c r="H37" s="294"/>
      <c r="I37" s="294"/>
    </row>
    <row r="38" spans="3:9" x14ac:dyDescent="0.2">
      <c r="C38" s="461">
        <v>504547.2</v>
      </c>
      <c r="D38" s="461">
        <v>477835.12</v>
      </c>
      <c r="E38" s="461">
        <v>2175533.2999999998</v>
      </c>
      <c r="H38" s="294"/>
      <c r="I38" s="294"/>
    </row>
    <row r="39" spans="3:9" x14ac:dyDescent="0.2">
      <c r="C39" s="461">
        <v>1003341.64</v>
      </c>
      <c r="D39" s="461">
        <v>336007.3</v>
      </c>
      <c r="E39" s="461">
        <v>1339348.94</v>
      </c>
      <c r="H39" s="294"/>
      <c r="I39" s="294"/>
    </row>
    <row r="40" spans="3:9" x14ac:dyDescent="0.2">
      <c r="C40" s="461">
        <v>583596.9</v>
      </c>
      <c r="D40" s="461">
        <v>333063.38</v>
      </c>
      <c r="E40" s="461">
        <v>916660.28</v>
      </c>
      <c r="H40" s="294"/>
      <c r="I40" s="294"/>
    </row>
    <row r="41" spans="3:9" x14ac:dyDescent="0.2">
      <c r="C41" s="461">
        <v>320657.21000000002</v>
      </c>
      <c r="D41" s="461">
        <v>285815.64</v>
      </c>
      <c r="E41" s="461">
        <v>2256009.2199999997</v>
      </c>
      <c r="H41" s="294"/>
      <c r="I41" s="294"/>
    </row>
    <row r="42" spans="3:9" x14ac:dyDescent="0.2">
      <c r="C42" s="461">
        <v>0</v>
      </c>
      <c r="D42" s="461">
        <v>0</v>
      </c>
      <c r="E42" s="461">
        <v>0</v>
      </c>
      <c r="H42" s="294"/>
      <c r="I42" s="294"/>
    </row>
    <row r="43" spans="3:9" x14ac:dyDescent="0.2">
      <c r="C43" s="461">
        <v>736577.76</v>
      </c>
      <c r="D43" s="461">
        <v>249311.92</v>
      </c>
      <c r="E43" s="461">
        <v>985889.68</v>
      </c>
      <c r="H43" s="294"/>
      <c r="I43" s="294"/>
    </row>
    <row r="44" spans="3:9" x14ac:dyDescent="0.2">
      <c r="C44" s="461">
        <v>2070999.9</v>
      </c>
      <c r="D44" s="461">
        <v>479037.6</v>
      </c>
      <c r="E44" s="461">
        <v>985889.68</v>
      </c>
      <c r="H44" s="294"/>
      <c r="I44" s="294"/>
    </row>
    <row r="45" spans="3:9" x14ac:dyDescent="0.2">
      <c r="C45" s="461">
        <v>15820760.51</v>
      </c>
      <c r="D45" s="461">
        <f>SUM(D30:D44)</f>
        <v>4813300.38</v>
      </c>
      <c r="E45" s="461">
        <v>20634060.890000001</v>
      </c>
      <c r="H45" s="294"/>
      <c r="I45" s="294"/>
    </row>
    <row r="46" spans="3:9" x14ac:dyDescent="0.2">
      <c r="H46" s="294"/>
      <c r="I46" s="294"/>
    </row>
    <row r="47" spans="3:9" x14ac:dyDescent="0.2">
      <c r="H47" s="294"/>
      <c r="I47" s="294"/>
    </row>
    <row r="48" spans="3:9" x14ac:dyDescent="0.2">
      <c r="D48" s="461"/>
      <c r="H48" s="294"/>
      <c r="I48" s="294"/>
    </row>
    <row r="49" spans="8:9" x14ac:dyDescent="0.2">
      <c r="H49" s="294"/>
      <c r="I49" s="294"/>
    </row>
    <row r="50" spans="8:9" x14ac:dyDescent="0.2">
      <c r="H50" s="294"/>
      <c r="I50" s="294"/>
    </row>
    <row r="51" spans="8:9" x14ac:dyDescent="0.2">
      <c r="H51" s="294"/>
      <c r="I51" s="294"/>
    </row>
    <row r="52" spans="8:9" x14ac:dyDescent="0.2">
      <c r="H52" s="294"/>
      <c r="I52" s="294"/>
    </row>
  </sheetData>
  <mergeCells count="12">
    <mergeCell ref="A26:C26"/>
    <mergeCell ref="A1:H1"/>
    <mergeCell ref="A2:H2"/>
    <mergeCell ref="H3:H4"/>
    <mergeCell ref="B3:B4"/>
    <mergeCell ref="F3:F4"/>
    <mergeCell ref="G3:G4"/>
    <mergeCell ref="A22:E22"/>
    <mergeCell ref="A3:A4"/>
    <mergeCell ref="C3:E3"/>
    <mergeCell ref="A23:F23"/>
    <mergeCell ref="A24:F2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52"/>
  <sheetViews>
    <sheetView rightToLeft="1" view="pageBreakPreview" topLeftCell="D1" zoomScale="90" zoomScaleNormal="100" zoomScaleSheetLayoutView="90" workbookViewId="0">
      <selection activeCell="Q4" sqref="Q4"/>
    </sheetView>
  </sheetViews>
  <sheetFormatPr defaultColWidth="10.42578125" defaultRowHeight="14.25" x14ac:dyDescent="0.2"/>
  <cols>
    <col min="1" max="1" width="1.140625" style="293" customWidth="1"/>
    <col min="2" max="2" width="10.42578125" style="293" customWidth="1"/>
    <col min="3" max="5" width="11.5703125" style="293" customWidth="1"/>
    <col min="6" max="6" width="0.5703125" style="293" customWidth="1"/>
    <col min="7" max="8" width="11.5703125" style="293" customWidth="1"/>
    <col min="9" max="9" width="10.7109375" style="293" customWidth="1"/>
    <col min="10" max="10" width="0.7109375" style="293" customWidth="1"/>
    <col min="11" max="13" width="11.5703125" style="293" customWidth="1"/>
    <col min="14" max="14" width="1" style="293" customWidth="1"/>
    <col min="15" max="17" width="11.5703125" style="293" customWidth="1"/>
    <col min="18" max="18" width="14.5703125" style="293" bestFit="1" customWidth="1"/>
    <col min="19" max="19" width="12.7109375" style="293" bestFit="1" customWidth="1"/>
    <col min="20" max="20" width="14.7109375" style="293" customWidth="1"/>
    <col min="21" max="16384" width="10.42578125" style="293"/>
  </cols>
  <sheetData>
    <row r="1" spans="2:22" ht="29.25" customHeight="1" x14ac:dyDescent="0.2">
      <c r="B1" s="846" t="s">
        <v>445</v>
      </c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  <c r="O1" s="846"/>
      <c r="P1" s="846"/>
      <c r="Q1" s="846"/>
    </row>
    <row r="2" spans="2:22" ht="29.25" customHeight="1" thickBot="1" x14ac:dyDescent="0.25">
      <c r="B2" s="847" t="s">
        <v>502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</row>
    <row r="3" spans="2:22" ht="42.75" customHeight="1" thickTop="1" x14ac:dyDescent="0.2">
      <c r="B3" s="848" t="s">
        <v>75</v>
      </c>
      <c r="C3" s="844" t="s">
        <v>387</v>
      </c>
      <c r="D3" s="844"/>
      <c r="E3" s="844"/>
      <c r="F3" s="546"/>
      <c r="G3" s="851" t="s">
        <v>385</v>
      </c>
      <c r="H3" s="851"/>
      <c r="I3" s="851"/>
      <c r="J3" s="594"/>
      <c r="K3" s="850" t="s">
        <v>269</v>
      </c>
      <c r="L3" s="850"/>
      <c r="M3" s="850"/>
      <c r="N3" s="546"/>
      <c r="O3" s="851" t="s">
        <v>386</v>
      </c>
      <c r="P3" s="851"/>
      <c r="Q3" s="851"/>
      <c r="R3" s="852" t="s">
        <v>333</v>
      </c>
      <c r="S3" s="852"/>
      <c r="T3" s="852"/>
    </row>
    <row r="4" spans="2:22" ht="25.5" customHeight="1" x14ac:dyDescent="0.2">
      <c r="B4" s="849"/>
      <c r="C4" s="292" t="s">
        <v>274</v>
      </c>
      <c r="D4" s="292" t="s">
        <v>91</v>
      </c>
      <c r="E4" s="292" t="s">
        <v>26</v>
      </c>
      <c r="F4" s="328"/>
      <c r="G4" s="292" t="s">
        <v>274</v>
      </c>
      <c r="H4" s="296" t="s">
        <v>91</v>
      </c>
      <c r="I4" s="297" t="s">
        <v>521</v>
      </c>
      <c r="J4" s="328"/>
      <c r="K4" s="292" t="s">
        <v>274</v>
      </c>
      <c r="L4" s="296" t="s">
        <v>91</v>
      </c>
      <c r="M4" s="297" t="s">
        <v>217</v>
      </c>
      <c r="N4" s="328"/>
      <c r="O4" s="292" t="s">
        <v>274</v>
      </c>
      <c r="P4" s="296" t="s">
        <v>91</v>
      </c>
      <c r="Q4" s="297" t="s">
        <v>521</v>
      </c>
      <c r="R4" s="293" t="s">
        <v>274</v>
      </c>
      <c r="S4" s="293" t="s">
        <v>91</v>
      </c>
      <c r="T4" s="293" t="s">
        <v>217</v>
      </c>
    </row>
    <row r="5" spans="2:22" s="720" customFormat="1" ht="21.75" customHeight="1" x14ac:dyDescent="0.2">
      <c r="B5" s="628" t="s">
        <v>76</v>
      </c>
      <c r="C5" s="255">
        <v>2321479</v>
      </c>
      <c r="D5" s="255">
        <v>1506718</v>
      </c>
      <c r="E5" s="255">
        <v>3828197</v>
      </c>
      <c r="F5" s="343"/>
      <c r="G5" s="551">
        <f t="shared" ref="G5:I6" si="0">R5/C5*1000</f>
        <v>434.34375240956308</v>
      </c>
      <c r="H5" s="551">
        <f t="shared" si="0"/>
        <v>286.80688755294619</v>
      </c>
      <c r="I5" s="551">
        <f t="shared" si="0"/>
        <v>376.27556784564644</v>
      </c>
      <c r="J5" s="551"/>
      <c r="K5" s="255">
        <v>2251834.63</v>
      </c>
      <c r="L5" s="255">
        <v>1130038.5</v>
      </c>
      <c r="M5" s="255">
        <v>3381874</v>
      </c>
      <c r="N5" s="343"/>
      <c r="O5" s="255">
        <f>R5/K5*1000</f>
        <v>447.77706433975573</v>
      </c>
      <c r="P5" s="255">
        <f t="shared" ref="P5:Q5" si="1">S5/L5*1000</f>
        <v>382.40918340392824</v>
      </c>
      <c r="Q5" s="255">
        <f t="shared" si="1"/>
        <v>425.93455581136374</v>
      </c>
      <c r="R5" s="342">
        <v>1008319.9</v>
      </c>
      <c r="S5" s="342">
        <v>432137.1</v>
      </c>
      <c r="T5" s="625">
        <v>1440457</v>
      </c>
      <c r="U5" s="456"/>
      <c r="V5" s="456"/>
    </row>
    <row r="6" spans="2:22" s="299" customFormat="1" ht="21.75" customHeight="1" x14ac:dyDescent="0.25">
      <c r="B6" s="628" t="s">
        <v>77</v>
      </c>
      <c r="C6" s="255">
        <v>1212210</v>
      </c>
      <c r="D6" s="255">
        <v>427743</v>
      </c>
      <c r="E6" s="255">
        <v>1639953</v>
      </c>
      <c r="F6" s="343"/>
      <c r="G6" s="551">
        <f>R6/C6*1000</f>
        <v>307.03095998218134</v>
      </c>
      <c r="H6" s="551">
        <f t="shared" si="0"/>
        <v>96.679548233401832</v>
      </c>
      <c r="I6" s="551">
        <f t="shared" si="0"/>
        <v>252.16576328711858</v>
      </c>
      <c r="J6" s="551"/>
      <c r="K6" s="255">
        <v>1115233.2</v>
      </c>
      <c r="L6" s="255">
        <v>355026.69</v>
      </c>
      <c r="M6" s="255">
        <v>1470259.89</v>
      </c>
      <c r="N6" s="343"/>
      <c r="O6" s="255">
        <f>R6/K6*1000</f>
        <v>333.72930432845794</v>
      </c>
      <c r="P6" s="255">
        <f t="shared" ref="P6:Q6" si="2">S6/L6*1000</f>
        <v>116.48138341373715</v>
      </c>
      <c r="Q6" s="255">
        <f t="shared" si="2"/>
        <v>281.27000050310835</v>
      </c>
      <c r="R6" s="613">
        <v>372186</v>
      </c>
      <c r="S6" s="614">
        <v>41354</v>
      </c>
      <c r="T6" s="626">
        <v>413540</v>
      </c>
    </row>
    <row r="7" spans="2:22" s="299" customFormat="1" ht="21.75" customHeight="1" x14ac:dyDescent="0.25">
      <c r="B7" s="253" t="s">
        <v>78</v>
      </c>
      <c r="C7" s="255">
        <v>826745</v>
      </c>
      <c r="D7" s="255">
        <v>853583</v>
      </c>
      <c r="E7" s="255">
        <v>1680328</v>
      </c>
      <c r="F7" s="343"/>
      <c r="G7" s="551">
        <f t="shared" ref="G7:G9" si="3">R7/C7*1000</f>
        <v>378.5012307301526</v>
      </c>
      <c r="H7" s="551">
        <f t="shared" ref="H7:H8" si="4">S7/D7*1000</f>
        <v>122.20018439917384</v>
      </c>
      <c r="I7" s="551">
        <f t="shared" ref="I7:I13" si="5">T7/E7*1000</f>
        <v>248.30390257140272</v>
      </c>
      <c r="J7" s="551"/>
      <c r="K7" s="255">
        <v>826745</v>
      </c>
      <c r="L7" s="255">
        <v>640187.25</v>
      </c>
      <c r="M7" s="255">
        <v>1466932.25</v>
      </c>
      <c r="N7" s="343"/>
      <c r="O7" s="255">
        <f t="shared" ref="O7:O9" si="6">R7/K7*1000</f>
        <v>378.5012307301526</v>
      </c>
      <c r="P7" s="255">
        <f t="shared" ref="P7:P8" si="7">S7/L7*1000</f>
        <v>162.93357919889846</v>
      </c>
      <c r="Q7" s="255">
        <f t="shared" ref="Q7:Q13" si="8">T7/M7*1000</f>
        <v>284.4248601119786</v>
      </c>
      <c r="R7" s="613">
        <v>312924</v>
      </c>
      <c r="S7" s="614">
        <v>104308</v>
      </c>
      <c r="T7" s="626">
        <v>417232</v>
      </c>
    </row>
    <row r="8" spans="2:22" s="299" customFormat="1" ht="21.75" customHeight="1" x14ac:dyDescent="0.2">
      <c r="B8" s="253" t="s">
        <v>336</v>
      </c>
      <c r="C8" s="255">
        <v>909458</v>
      </c>
      <c r="D8" s="255">
        <v>908860</v>
      </c>
      <c r="E8" s="255">
        <v>1818318</v>
      </c>
      <c r="F8" s="343"/>
      <c r="G8" s="551">
        <f t="shared" si="3"/>
        <v>222.78214057163717</v>
      </c>
      <c r="H8" s="551">
        <f t="shared" si="4"/>
        <v>175.15789010408645</v>
      </c>
      <c r="I8" s="551">
        <f t="shared" si="5"/>
        <v>198.97784655929271</v>
      </c>
      <c r="J8" s="551"/>
      <c r="K8" s="255">
        <v>773039.3</v>
      </c>
      <c r="L8" s="255">
        <v>681645</v>
      </c>
      <c r="M8" s="255">
        <v>1454684.3</v>
      </c>
      <c r="N8" s="343"/>
      <c r="O8" s="255">
        <f t="shared" si="6"/>
        <v>262.09663596663194</v>
      </c>
      <c r="P8" s="255">
        <f t="shared" si="7"/>
        <v>233.54385347211525</v>
      </c>
      <c r="Q8" s="255">
        <f t="shared" si="8"/>
        <v>248.71719588916991</v>
      </c>
      <c r="R8" s="342">
        <v>202611</v>
      </c>
      <c r="S8" s="342">
        <v>159194</v>
      </c>
      <c r="T8" s="625">
        <v>361805</v>
      </c>
    </row>
    <row r="9" spans="2:22" s="299" customFormat="1" ht="21.75" customHeight="1" x14ac:dyDescent="0.25">
      <c r="B9" s="253" t="s">
        <v>89</v>
      </c>
      <c r="C9" s="255">
        <f>'18'!B9</f>
        <v>6150828</v>
      </c>
      <c r="D9" s="255">
        <v>0</v>
      </c>
      <c r="E9" s="255">
        <f>C9+D9</f>
        <v>6150828</v>
      </c>
      <c r="F9" s="343"/>
      <c r="G9" s="551">
        <f t="shared" si="3"/>
        <v>471.57626908117084</v>
      </c>
      <c r="H9" s="551">
        <v>0</v>
      </c>
      <c r="I9" s="551">
        <f t="shared" si="5"/>
        <v>471.57626908117084</v>
      </c>
      <c r="J9" s="551"/>
      <c r="K9" s="255">
        <f>C9</f>
        <v>6150828</v>
      </c>
      <c r="L9" s="255">
        <v>0</v>
      </c>
      <c r="M9" s="255">
        <f>SUM(K9:L9)</f>
        <v>6150828</v>
      </c>
      <c r="N9" s="343"/>
      <c r="O9" s="255">
        <f t="shared" si="6"/>
        <v>471.57626908117084</v>
      </c>
      <c r="P9" s="255">
        <v>0</v>
      </c>
      <c r="Q9" s="255">
        <f t="shared" si="8"/>
        <v>471.57626908117084</v>
      </c>
      <c r="R9" s="613">
        <v>2900584.52</v>
      </c>
      <c r="S9" s="614">
        <v>0</v>
      </c>
      <c r="T9" s="615">
        <v>2900584.52</v>
      </c>
    </row>
    <row r="10" spans="2:22" s="299" customFormat="1" ht="21.75" customHeight="1" x14ac:dyDescent="0.25">
      <c r="B10" s="253" t="s">
        <v>80</v>
      </c>
      <c r="C10" s="255">
        <v>1146604</v>
      </c>
      <c r="D10" s="255">
        <v>1043279</v>
      </c>
      <c r="E10" s="255">
        <v>2189883</v>
      </c>
      <c r="F10" s="343"/>
      <c r="G10" s="551">
        <f>R10/C10*1000</f>
        <v>244.65796386546705</v>
      </c>
      <c r="H10" s="551">
        <f t="shared" ref="H10" si="9">S10/D10*1000</f>
        <v>179.25904767564575</v>
      </c>
      <c r="I10" s="551">
        <f t="shared" si="5"/>
        <v>213.50136057497136</v>
      </c>
      <c r="J10" s="551"/>
      <c r="K10" s="255">
        <v>687962.4</v>
      </c>
      <c r="L10" s="255">
        <v>417311.6</v>
      </c>
      <c r="M10" s="255">
        <v>1105274</v>
      </c>
      <c r="N10" s="343"/>
      <c r="O10" s="255">
        <f>R10/K10*1000</f>
        <v>407.76327310911176</v>
      </c>
      <c r="P10" s="551">
        <f t="shared" ref="P10:P13" si="10">S10/L10*1000</f>
        <v>448.14761918911438</v>
      </c>
      <c r="Q10" s="551">
        <f t="shared" si="8"/>
        <v>423.01094570215167</v>
      </c>
      <c r="R10" s="613">
        <v>280525.8</v>
      </c>
      <c r="S10" s="614">
        <v>187017.2</v>
      </c>
      <c r="T10" s="626">
        <v>467543</v>
      </c>
    </row>
    <row r="11" spans="2:22" s="299" customFormat="1" ht="21.75" customHeight="1" x14ac:dyDescent="0.25">
      <c r="B11" s="253" t="s">
        <v>82</v>
      </c>
      <c r="C11" s="255">
        <v>1023123</v>
      </c>
      <c r="D11" s="255">
        <v>1096280</v>
      </c>
      <c r="E11" s="251">
        <v>2119403</v>
      </c>
      <c r="F11" s="343"/>
      <c r="G11" s="551">
        <f>R11/C11*1000</f>
        <v>534.68351312598782</v>
      </c>
      <c r="H11" s="551">
        <f>S11/D11*1000</f>
        <v>124.75097602802204</v>
      </c>
      <c r="I11" s="551">
        <f t="shared" si="5"/>
        <v>322.64227237575864</v>
      </c>
      <c r="J11" s="551"/>
      <c r="K11" s="255">
        <v>838960.86</v>
      </c>
      <c r="L11" s="255">
        <v>548140</v>
      </c>
      <c r="M11" s="255">
        <v>1387100.8599999999</v>
      </c>
      <c r="N11" s="343"/>
      <c r="O11" s="255">
        <f>R11/K11*1000</f>
        <v>652.05306478779005</v>
      </c>
      <c r="P11" s="551">
        <f t="shared" si="10"/>
        <v>249.50195205604408</v>
      </c>
      <c r="Q11" s="551">
        <f t="shared" si="8"/>
        <v>492.97712929108849</v>
      </c>
      <c r="R11" s="613">
        <v>547047</v>
      </c>
      <c r="S11" s="615">
        <v>136762</v>
      </c>
      <c r="T11" s="615">
        <v>683809</v>
      </c>
    </row>
    <row r="12" spans="2:22" s="299" customFormat="1" ht="21.75" customHeight="1" x14ac:dyDescent="0.25">
      <c r="B12" s="253" t="s">
        <v>74</v>
      </c>
      <c r="C12" s="255">
        <v>836316</v>
      </c>
      <c r="D12" s="255">
        <v>414490</v>
      </c>
      <c r="E12" s="251">
        <v>1250806</v>
      </c>
      <c r="F12" s="343"/>
      <c r="G12" s="551">
        <f>R12/C12*1000</f>
        <v>307.11333993370926</v>
      </c>
      <c r="H12" s="551">
        <f t="shared" ref="H12:H13" si="11">S12/D12*1000</f>
        <v>413.10815701223191</v>
      </c>
      <c r="I12" s="551">
        <f t="shared" si="5"/>
        <v>342.23772511484594</v>
      </c>
      <c r="J12" s="551"/>
      <c r="K12" s="255">
        <v>811226.52</v>
      </c>
      <c r="L12" s="255">
        <v>360606.3</v>
      </c>
      <c r="M12" s="251">
        <v>1171832.82</v>
      </c>
      <c r="N12" s="343"/>
      <c r="O12" s="255">
        <f>R12/K12*1000</f>
        <v>316.61169065330853</v>
      </c>
      <c r="P12" s="551">
        <f t="shared" si="10"/>
        <v>474.83696208302524</v>
      </c>
      <c r="Q12" s="551">
        <f t="shared" si="8"/>
        <v>365.30210853797382</v>
      </c>
      <c r="R12" s="613">
        <v>256843.8</v>
      </c>
      <c r="S12" s="614">
        <v>171229.2</v>
      </c>
      <c r="T12" s="615">
        <v>428073</v>
      </c>
    </row>
    <row r="13" spans="2:22" s="298" customFormat="1" ht="21.75" customHeight="1" x14ac:dyDescent="0.25">
      <c r="B13" s="253" t="s">
        <v>81</v>
      </c>
      <c r="C13" s="255">
        <v>851628</v>
      </c>
      <c r="D13" s="255">
        <v>563406</v>
      </c>
      <c r="E13" s="255">
        <v>1415034</v>
      </c>
      <c r="F13" s="343"/>
      <c r="G13" s="551">
        <f>R13/C13*1000</f>
        <v>416.41561808677028</v>
      </c>
      <c r="H13" s="551">
        <f t="shared" si="11"/>
        <v>419.6277639925737</v>
      </c>
      <c r="I13" s="551">
        <f t="shared" si="5"/>
        <v>417.69455716258409</v>
      </c>
      <c r="J13" s="551"/>
      <c r="K13" s="255">
        <v>851628</v>
      </c>
      <c r="L13" s="255">
        <v>450724</v>
      </c>
      <c r="M13" s="255">
        <v>1302352</v>
      </c>
      <c r="N13" s="343"/>
      <c r="O13" s="255">
        <f>R13/K13*1000</f>
        <v>416.41561808677028</v>
      </c>
      <c r="P13" s="551">
        <f t="shared" si="10"/>
        <v>524.53563599897052</v>
      </c>
      <c r="Q13" s="551">
        <f t="shared" si="8"/>
        <v>453.83429364718603</v>
      </c>
      <c r="R13" s="613">
        <v>354631.2</v>
      </c>
      <c r="S13" s="615">
        <v>236420.8</v>
      </c>
      <c r="T13" s="619">
        <v>591052</v>
      </c>
    </row>
    <row r="14" spans="2:22" s="298" customFormat="1" ht="21.75" customHeight="1" x14ac:dyDescent="0.25">
      <c r="B14" s="253" t="s">
        <v>79</v>
      </c>
      <c r="C14" s="255">
        <v>738274</v>
      </c>
      <c r="D14" s="255">
        <v>898958</v>
      </c>
      <c r="E14" s="255">
        <v>1637232</v>
      </c>
      <c r="G14" s="551">
        <f t="shared" ref="G14:G20" si="12">R14/C14*1000</f>
        <v>119.92363268921837</v>
      </c>
      <c r="H14" s="551">
        <f t="shared" ref="H14:I20" si="13">S14/D14*1000</f>
        <v>53.031398574794373</v>
      </c>
      <c r="I14" s="551">
        <f t="shared" si="13"/>
        <v>83.194990080819338</v>
      </c>
      <c r="J14" s="551"/>
      <c r="K14" s="255">
        <v>575853.72</v>
      </c>
      <c r="L14" s="255">
        <v>422510.26</v>
      </c>
      <c r="M14" s="255">
        <v>998363.98</v>
      </c>
      <c r="O14" s="255">
        <f t="shared" ref="O14:O20" si="14">R14/K14*1000</f>
        <v>153.74824703745946</v>
      </c>
      <c r="P14" s="551">
        <f t="shared" ref="P14:Q15" si="15">S14/L14*1000</f>
        <v>112.8327629250944</v>
      </c>
      <c r="Q14" s="551">
        <f t="shared" si="15"/>
        <v>136.4327066367118</v>
      </c>
      <c r="R14" s="613">
        <v>88536.5</v>
      </c>
      <c r="S14" s="615">
        <v>47673</v>
      </c>
      <c r="T14" s="643">
        <v>136209.5</v>
      </c>
    </row>
    <row r="15" spans="2:22" s="298" customFormat="1" ht="21.75" customHeight="1" x14ac:dyDescent="0.25">
      <c r="B15" s="253" t="s">
        <v>83</v>
      </c>
      <c r="C15" s="255">
        <v>1078638</v>
      </c>
      <c r="D15" s="255">
        <v>431700</v>
      </c>
      <c r="E15" s="255">
        <f>C15+D15</f>
        <v>1510338</v>
      </c>
      <c r="F15" s="343"/>
      <c r="G15" s="551">
        <f t="shared" si="12"/>
        <v>328.36039523918123</v>
      </c>
      <c r="H15" s="551">
        <f>S15/D15*1000</f>
        <v>319.05953208246467</v>
      </c>
      <c r="I15" s="551">
        <f t="shared" si="13"/>
        <v>325.70192897219033</v>
      </c>
      <c r="J15" s="551"/>
      <c r="K15" s="255">
        <v>1057065.24</v>
      </c>
      <c r="L15" s="255">
        <v>353994</v>
      </c>
      <c r="M15" s="255">
        <f>SUM(K15:L15)</f>
        <v>1411059.24</v>
      </c>
      <c r="N15" s="343"/>
      <c r="O15" s="551">
        <f t="shared" si="14"/>
        <v>335.06162779508293</v>
      </c>
      <c r="P15" s="551">
        <f t="shared" si="15"/>
        <v>389.09699034446908</v>
      </c>
      <c r="Q15" s="551">
        <f t="shared" si="15"/>
        <v>348.61753926078967</v>
      </c>
      <c r="R15" s="613">
        <v>354182</v>
      </c>
      <c r="S15" s="615">
        <v>137738</v>
      </c>
      <c r="T15" s="619">
        <v>491920</v>
      </c>
    </row>
    <row r="16" spans="2:22" s="298" customFormat="1" ht="21.75" customHeight="1" x14ac:dyDescent="0.2">
      <c r="B16" s="253" t="s">
        <v>84</v>
      </c>
      <c r="C16" s="255">
        <v>759071</v>
      </c>
      <c r="D16" s="255">
        <v>565960</v>
      </c>
      <c r="E16" s="255">
        <f>SUM(C16:D16)</f>
        <v>1325031</v>
      </c>
      <c r="F16" s="343"/>
      <c r="G16" s="551">
        <f t="shared" si="12"/>
        <v>222.86452782414293</v>
      </c>
      <c r="H16" s="551">
        <f t="shared" si="13"/>
        <v>199.27203335924801</v>
      </c>
      <c r="I16" s="551">
        <f>T16/E16*1000</f>
        <v>212.78747440625918</v>
      </c>
      <c r="J16" s="551"/>
      <c r="K16" s="255">
        <v>618642.86499999999</v>
      </c>
      <c r="L16" s="255">
        <v>350895.2</v>
      </c>
      <c r="M16" s="255">
        <f>SUM(K16:L16)</f>
        <v>969538.06499999994</v>
      </c>
      <c r="N16" s="343"/>
      <c r="O16" s="551">
        <f t="shared" si="14"/>
        <v>273.4534083731815</v>
      </c>
      <c r="P16" s="551">
        <f t="shared" ref="P16:Q17" si="16">S16/L16*1000</f>
        <v>321.40650541814193</v>
      </c>
      <c r="Q16" s="551">
        <f t="shared" si="16"/>
        <v>290.80859244035975</v>
      </c>
      <c r="R16" s="342">
        <v>169170</v>
      </c>
      <c r="S16" s="342">
        <v>112780</v>
      </c>
      <c r="T16" s="343">
        <v>281950</v>
      </c>
    </row>
    <row r="17" spans="1:20" s="298" customFormat="1" ht="21.75" customHeight="1" x14ac:dyDescent="0.2">
      <c r="B17" s="253" t="s">
        <v>85</v>
      </c>
      <c r="C17" s="255">
        <v>388176</v>
      </c>
      <c r="D17" s="255">
        <v>447621</v>
      </c>
      <c r="E17" s="255">
        <v>835797</v>
      </c>
      <c r="F17" s="343"/>
      <c r="G17" s="551">
        <f t="shared" si="12"/>
        <v>282.55224434277238</v>
      </c>
      <c r="H17" s="551">
        <f t="shared" si="13"/>
        <v>105.01294622012819</v>
      </c>
      <c r="I17" s="551">
        <f t="shared" si="13"/>
        <v>187.46896674671001</v>
      </c>
      <c r="J17" s="551"/>
      <c r="K17" s="255">
        <v>329949.59999999998</v>
      </c>
      <c r="L17" s="255">
        <v>290953.65000000002</v>
      </c>
      <c r="M17" s="255">
        <v>620904</v>
      </c>
      <c r="N17" s="343"/>
      <c r="O17" s="551">
        <f t="shared" si="14"/>
        <v>332.41440510914396</v>
      </c>
      <c r="P17" s="551">
        <f t="shared" si="16"/>
        <v>161.55837880019718</v>
      </c>
      <c r="Q17" s="551">
        <f t="shared" si="16"/>
        <v>252.35141020189917</v>
      </c>
      <c r="R17" s="342">
        <v>109680</v>
      </c>
      <c r="S17" s="342">
        <v>47006</v>
      </c>
      <c r="T17" s="343">
        <v>156686</v>
      </c>
    </row>
    <row r="18" spans="1:20" s="298" customFormat="1" ht="21.75" customHeight="1" x14ac:dyDescent="0.25">
      <c r="B18" s="253" t="s">
        <v>86</v>
      </c>
      <c r="C18" s="255">
        <v>1380216</v>
      </c>
      <c r="D18" s="255">
        <v>770122</v>
      </c>
      <c r="E18" s="255">
        <v>2150338</v>
      </c>
      <c r="F18" s="343"/>
      <c r="G18" s="551">
        <f t="shared" si="12"/>
        <v>380.2238200397619</v>
      </c>
      <c r="H18" s="551">
        <f t="shared" si="13"/>
        <v>110.93189286892206</v>
      </c>
      <c r="I18" s="551">
        <f t="shared" si="13"/>
        <v>283.77961566972266</v>
      </c>
      <c r="J18" s="551"/>
      <c r="K18" s="255">
        <v>1186985.76</v>
      </c>
      <c r="L18" s="255">
        <v>177128.06</v>
      </c>
      <c r="M18" s="255">
        <v>1364113.82</v>
      </c>
      <c r="N18" s="343"/>
      <c r="O18" s="551">
        <f t="shared" si="14"/>
        <v>442.12072097646734</v>
      </c>
      <c r="P18" s="551">
        <f t="shared" ref="P18:Q20" si="17">S18/L18*1000</f>
        <v>482.3125776909655</v>
      </c>
      <c r="Q18" s="551">
        <f t="shared" si="17"/>
        <v>447.3395711217118</v>
      </c>
      <c r="R18" s="613">
        <v>524791</v>
      </c>
      <c r="S18" s="255">
        <v>85431.091199999995</v>
      </c>
      <c r="T18" s="639">
        <v>610222.09120000002</v>
      </c>
    </row>
    <row r="19" spans="1:20" s="298" customFormat="1" ht="21.75" customHeight="1" x14ac:dyDescent="0.25">
      <c r="B19" s="253" t="s">
        <v>87</v>
      </c>
      <c r="C19" s="255">
        <f>'17'!B19</f>
        <v>843494</v>
      </c>
      <c r="D19" s="255">
        <f>'17'!C19</f>
        <v>298472</v>
      </c>
      <c r="E19" s="255">
        <f>SUM(C19:D19)</f>
        <v>1141966</v>
      </c>
      <c r="F19" s="343"/>
      <c r="G19" s="551">
        <f t="shared" si="12"/>
        <v>451.71157115521862</v>
      </c>
      <c r="H19" s="551">
        <f t="shared" si="13"/>
        <v>687.37436007397673</v>
      </c>
      <c r="I19" s="551">
        <f t="shared" si="13"/>
        <v>513.30600035377586</v>
      </c>
      <c r="J19" s="551"/>
      <c r="K19" s="255">
        <v>784449.42</v>
      </c>
      <c r="L19" s="255">
        <v>265640.08</v>
      </c>
      <c r="M19" s="255">
        <v>1050089</v>
      </c>
      <c r="N19" s="343"/>
      <c r="O19" s="551">
        <f t="shared" si="14"/>
        <v>485.71136683356843</v>
      </c>
      <c r="P19" s="551">
        <f t="shared" si="17"/>
        <v>772.33074165615369</v>
      </c>
      <c r="Q19" s="551">
        <f t="shared" si="17"/>
        <v>558.21744633073956</v>
      </c>
      <c r="R19" s="613">
        <v>381016</v>
      </c>
      <c r="S19" s="615">
        <v>205162</v>
      </c>
      <c r="T19" s="619">
        <v>586178</v>
      </c>
    </row>
    <row r="20" spans="1:20" s="298" customFormat="1" ht="21.75" customHeight="1" thickBot="1" x14ac:dyDescent="0.3">
      <c r="A20" s="653"/>
      <c r="B20" s="256" t="s">
        <v>88</v>
      </c>
      <c r="C20" s="255">
        <v>2424321</v>
      </c>
      <c r="D20" s="255">
        <v>560752</v>
      </c>
      <c r="E20" s="251">
        <v>2985073</v>
      </c>
      <c r="F20" s="343"/>
      <c r="G20" s="551">
        <f t="shared" si="12"/>
        <v>395.74562526992099</v>
      </c>
      <c r="H20" s="551">
        <f t="shared" si="13"/>
        <v>350.43400647701662</v>
      </c>
      <c r="I20" s="551">
        <f t="shared" si="13"/>
        <v>387.2337460423916</v>
      </c>
      <c r="J20" s="551"/>
      <c r="K20" s="255">
        <v>2181888.9</v>
      </c>
      <c r="L20" s="255">
        <v>476639.2</v>
      </c>
      <c r="M20" s="251">
        <v>2658528.1</v>
      </c>
      <c r="N20" s="343"/>
      <c r="O20" s="551">
        <f t="shared" si="14"/>
        <v>439.71736141102332</v>
      </c>
      <c r="P20" s="551">
        <f t="shared" si="17"/>
        <v>412.27530173766655</v>
      </c>
      <c r="Q20" s="551">
        <f t="shared" si="17"/>
        <v>434.79736023854701</v>
      </c>
      <c r="R20" s="613">
        <v>959414.43</v>
      </c>
      <c r="S20" s="614">
        <v>196506.57</v>
      </c>
      <c r="T20" s="652">
        <v>1155921</v>
      </c>
    </row>
    <row r="21" spans="1:20" s="246" customFormat="1" ht="21.75" customHeight="1" thickTop="1" thickBot="1" x14ac:dyDescent="0.3">
      <c r="B21" s="265" t="s">
        <v>313</v>
      </c>
      <c r="C21" s="268">
        <f>SUM(C5:C20)</f>
        <v>22890581</v>
      </c>
      <c r="D21" s="268">
        <f>SUM(D5:D20)</f>
        <v>10787944</v>
      </c>
      <c r="E21" s="268">
        <f>SUM(E5:E20)</f>
        <v>33678525</v>
      </c>
      <c r="F21" s="268"/>
      <c r="G21" s="379">
        <f>G29/C21*1000</f>
        <v>385.41892623870058</v>
      </c>
      <c r="H21" s="379">
        <f t="shared" ref="H21:J21" si="18">H29/D21*1000</f>
        <v>213.26760328010599</v>
      </c>
      <c r="I21" s="379">
        <f t="shared" si="18"/>
        <v>330.27521577028682</v>
      </c>
      <c r="J21" s="379" t="e">
        <f t="shared" si="18"/>
        <v>#DIV/0!</v>
      </c>
      <c r="K21" s="268">
        <f>SUM(K5:K20)</f>
        <v>21042293.415000003</v>
      </c>
      <c r="L21" s="268">
        <f>SUM(L5:L20)</f>
        <v>6921439.79</v>
      </c>
      <c r="M21" s="268">
        <f>SUM(M5:M20)</f>
        <v>27963734.324999999</v>
      </c>
      <c r="N21" s="268"/>
      <c r="O21" s="379">
        <f>G29/K21*1000</f>
        <v>419.2728889385653</v>
      </c>
      <c r="P21" s="379">
        <f t="shared" ref="P21:Q21" si="19">H29/L21*1000</f>
        <v>332.40467749557632</v>
      </c>
      <c r="Q21" s="379">
        <f t="shared" si="19"/>
        <v>397.77169894135733</v>
      </c>
      <c r="R21" s="447">
        <f>SUM(R5:R20)</f>
        <v>8822463.1500000004</v>
      </c>
      <c r="S21" s="448">
        <f>SUM(S5:S20)</f>
        <v>2300718.9611999998</v>
      </c>
      <c r="T21" s="448">
        <f>SUM(T5:T20)</f>
        <v>11123182.111199999</v>
      </c>
    </row>
    <row r="22" spans="1:20" s="246" customFormat="1" ht="21" customHeight="1" thickTop="1" thickBot="1" x14ac:dyDescent="0.25">
      <c r="B22" s="839" t="s">
        <v>271</v>
      </c>
      <c r="C22" s="839"/>
      <c r="D22" s="839"/>
      <c r="E22" s="839"/>
      <c r="F22" s="839"/>
      <c r="G22" s="839"/>
      <c r="H22" s="839"/>
      <c r="I22" s="839"/>
      <c r="J22" s="839"/>
      <c r="K22" s="839"/>
      <c r="L22" s="839"/>
      <c r="M22" s="839"/>
      <c r="N22" s="545"/>
      <c r="O22" s="262"/>
      <c r="P22" s="262"/>
      <c r="Q22" s="262"/>
      <c r="R22" s="268"/>
      <c r="S22" s="268"/>
      <c r="T22" s="268"/>
    </row>
    <row r="23" spans="1:20" s="246" customFormat="1" ht="18" customHeight="1" thickTop="1" x14ac:dyDescent="0.25">
      <c r="B23" s="833"/>
      <c r="C23" s="833"/>
      <c r="D23" s="833"/>
      <c r="E23" s="833"/>
      <c r="F23" s="833"/>
      <c r="G23" s="833"/>
      <c r="H23" s="833"/>
      <c r="I23" s="833"/>
      <c r="J23" s="833"/>
      <c r="K23" s="833"/>
      <c r="L23" s="833"/>
      <c r="M23" s="833"/>
      <c r="N23"/>
      <c r="O23" s="257"/>
      <c r="P23" s="249"/>
      <c r="Q23" s="248"/>
      <c r="R23" s="449"/>
      <c r="S23" s="449"/>
      <c r="T23" s="449"/>
    </row>
    <row r="24" spans="1:20" s="246" customFormat="1" ht="21" customHeight="1" x14ac:dyDescent="0.2">
      <c r="B24" s="832" t="s">
        <v>326</v>
      </c>
      <c r="C24" s="832"/>
      <c r="D24" s="832"/>
      <c r="E24" s="832"/>
      <c r="F24" s="832"/>
      <c r="G24" s="832"/>
      <c r="H24" s="832"/>
      <c r="I24" s="832"/>
      <c r="J24" s="832"/>
      <c r="K24" s="832"/>
      <c r="L24" s="832"/>
      <c r="M24" s="832"/>
      <c r="N24" s="832"/>
      <c r="O24" s="832"/>
      <c r="P24" s="832"/>
      <c r="Q24" s="832"/>
      <c r="R24" s="449"/>
      <c r="S24" s="449"/>
      <c r="T24" s="449"/>
    </row>
    <row r="25" spans="1:20" s="246" customFormat="1" ht="21" customHeight="1" thickBot="1" x14ac:dyDescent="0.25">
      <c r="B25" s="815" t="s">
        <v>327</v>
      </c>
      <c r="C25" s="815"/>
      <c r="D25" s="815"/>
      <c r="E25" s="815"/>
      <c r="F25" s="815"/>
      <c r="G25" s="815"/>
      <c r="H25" s="815"/>
      <c r="I25" s="815"/>
      <c r="J25" s="815"/>
      <c r="K25" s="815"/>
      <c r="L25" s="815"/>
      <c r="M25" s="815"/>
      <c r="N25" s="815"/>
      <c r="O25" s="815"/>
      <c r="P25" s="815"/>
      <c r="Q25" s="815"/>
      <c r="R25" s="450"/>
      <c r="S25" s="450"/>
      <c r="T25" s="450"/>
    </row>
    <row r="26" spans="1:20" ht="21" customHeight="1" thickBot="1" x14ac:dyDescent="0.25">
      <c r="B26" s="811" t="s">
        <v>255</v>
      </c>
      <c r="C26" s="811"/>
      <c r="D26" s="811"/>
      <c r="E26" s="811"/>
      <c r="F26" s="811"/>
      <c r="G26" s="811"/>
      <c r="H26" s="811"/>
      <c r="I26" s="811"/>
      <c r="J26" s="811"/>
      <c r="K26" s="811"/>
      <c r="L26" s="811"/>
      <c r="M26" s="811"/>
      <c r="N26" s="295"/>
      <c r="O26" s="295"/>
      <c r="P26" s="295"/>
      <c r="Q26" s="325">
        <v>33</v>
      </c>
      <c r="R26" s="452"/>
      <c r="S26" s="453"/>
      <c r="T26" s="446"/>
    </row>
    <row r="27" spans="1:20" ht="15.75" thickTop="1" thickBot="1" x14ac:dyDescent="0.25">
      <c r="L27" s="268"/>
      <c r="M27" s="268"/>
      <c r="N27" s="268"/>
      <c r="R27" s="294"/>
    </row>
    <row r="28" spans="1:20" ht="15" thickTop="1" x14ac:dyDescent="0.2">
      <c r="R28" s="294"/>
    </row>
    <row r="29" spans="1:20" x14ac:dyDescent="0.2">
      <c r="G29" s="293">
        <v>8822463.1500000004</v>
      </c>
      <c r="H29" s="293">
        <v>2300718.9611999998</v>
      </c>
      <c r="I29" s="293">
        <v>11123182.111199999</v>
      </c>
      <c r="R29" s="294"/>
    </row>
    <row r="30" spans="1:20" x14ac:dyDescent="0.2">
      <c r="H30" s="462"/>
      <c r="P30" s="462"/>
      <c r="R30" s="294">
        <v>1058558.44</v>
      </c>
      <c r="S30" s="293">
        <v>336989.13</v>
      </c>
      <c r="T30" s="293">
        <v>1395547.5699999998</v>
      </c>
    </row>
    <row r="31" spans="1:20" x14ac:dyDescent="0.2">
      <c r="R31" s="294">
        <v>784734</v>
      </c>
      <c r="S31" s="293">
        <v>640064.31999999995</v>
      </c>
      <c r="T31" s="293">
        <v>1424798.3199999998</v>
      </c>
    </row>
    <row r="32" spans="1:20" x14ac:dyDescent="0.2">
      <c r="R32" s="294">
        <v>0</v>
      </c>
      <c r="S32" s="293">
        <v>0</v>
      </c>
      <c r="T32" s="293">
        <v>2820345.8899999997</v>
      </c>
    </row>
    <row r="33" spans="18:20" x14ac:dyDescent="0.2">
      <c r="R33" s="294">
        <v>5838251</v>
      </c>
      <c r="S33" s="293">
        <v>0</v>
      </c>
      <c r="T33" s="293">
        <v>5838251</v>
      </c>
    </row>
    <row r="34" spans="18:20" x14ac:dyDescent="0.2">
      <c r="R34" s="294">
        <v>653000.4</v>
      </c>
      <c r="S34" s="293">
        <v>396104.8</v>
      </c>
      <c r="T34" s="293">
        <v>1049105.2</v>
      </c>
    </row>
    <row r="35" spans="18:20" x14ac:dyDescent="0.2">
      <c r="R35" s="294">
        <v>776909.6</v>
      </c>
      <c r="S35" s="293">
        <v>593124.32999999996</v>
      </c>
      <c r="T35" s="293">
        <v>6887356.2000000002</v>
      </c>
    </row>
    <row r="36" spans="18:20" x14ac:dyDescent="0.2">
      <c r="R36" s="294">
        <v>762063.35999999999</v>
      </c>
      <c r="S36" s="293">
        <v>338348.94</v>
      </c>
      <c r="T36" s="293">
        <v>1100412.3</v>
      </c>
    </row>
    <row r="37" spans="18:20" x14ac:dyDescent="0.2">
      <c r="R37" s="294">
        <v>727523.1</v>
      </c>
      <c r="S37" s="293">
        <v>347597.9</v>
      </c>
      <c r="T37" s="293">
        <v>1075121</v>
      </c>
    </row>
    <row r="38" spans="18:20" x14ac:dyDescent="0.2">
      <c r="R38" s="294">
        <v>504547.2</v>
      </c>
      <c r="S38" s="293">
        <v>477835.12</v>
      </c>
      <c r="T38" s="293">
        <v>2175533.2999999998</v>
      </c>
    </row>
    <row r="39" spans="18:20" x14ac:dyDescent="0.2">
      <c r="R39" s="294">
        <v>1003341.64</v>
      </c>
      <c r="S39" s="293">
        <v>336007.3</v>
      </c>
      <c r="T39" s="293">
        <v>1339348.94</v>
      </c>
    </row>
    <row r="40" spans="18:20" x14ac:dyDescent="0.2">
      <c r="R40" s="294">
        <v>583596.9</v>
      </c>
      <c r="S40" s="293">
        <v>333063.38</v>
      </c>
      <c r="T40" s="293">
        <v>916660.28</v>
      </c>
    </row>
    <row r="41" spans="18:20" x14ac:dyDescent="0.2">
      <c r="R41" s="294">
        <v>320657.21000000002</v>
      </c>
      <c r="S41" s="293">
        <v>285815.64</v>
      </c>
      <c r="T41" s="293">
        <v>2256009.2199999997</v>
      </c>
    </row>
    <row r="42" spans="18:20" x14ac:dyDescent="0.2">
      <c r="R42" s="294">
        <v>0</v>
      </c>
      <c r="S42" s="293">
        <v>0</v>
      </c>
      <c r="T42" s="293">
        <v>0</v>
      </c>
    </row>
    <row r="43" spans="18:20" x14ac:dyDescent="0.2">
      <c r="R43" s="294">
        <v>736577.76</v>
      </c>
      <c r="S43" s="293">
        <v>249311.92</v>
      </c>
      <c r="T43" s="293">
        <v>985889.68</v>
      </c>
    </row>
    <row r="44" spans="18:20" x14ac:dyDescent="0.2">
      <c r="R44" s="294">
        <v>2070999.9</v>
      </c>
      <c r="S44" s="293">
        <v>479037.6</v>
      </c>
      <c r="T44" s="293">
        <v>985889.68</v>
      </c>
    </row>
    <row r="45" spans="18:20" x14ac:dyDescent="0.2">
      <c r="R45" s="294">
        <v>15820760.51</v>
      </c>
      <c r="S45" s="293">
        <v>4813300.38</v>
      </c>
      <c r="T45" s="293">
        <v>20634060.890000001</v>
      </c>
    </row>
    <row r="46" spans="18:20" x14ac:dyDescent="0.2">
      <c r="R46" s="294"/>
    </row>
    <row r="47" spans="18:20" x14ac:dyDescent="0.2">
      <c r="R47" s="294"/>
    </row>
    <row r="48" spans="18:20" x14ac:dyDescent="0.2">
      <c r="R48" s="294"/>
    </row>
    <row r="49" spans="18:18" x14ac:dyDescent="0.2">
      <c r="R49" s="294"/>
    </row>
    <row r="50" spans="18:18" x14ac:dyDescent="0.2">
      <c r="R50" s="294"/>
    </row>
    <row r="51" spans="18:18" x14ac:dyDescent="0.2">
      <c r="R51" s="294"/>
    </row>
    <row r="52" spans="18:18" x14ac:dyDescent="0.2">
      <c r="R52" s="294"/>
    </row>
  </sheetData>
  <mergeCells count="13">
    <mergeCell ref="B1:Q1"/>
    <mergeCell ref="R3:T3"/>
    <mergeCell ref="G3:I3"/>
    <mergeCell ref="B22:M22"/>
    <mergeCell ref="B23:M23"/>
    <mergeCell ref="B24:Q24"/>
    <mergeCell ref="B25:Q25"/>
    <mergeCell ref="B26:M26"/>
    <mergeCell ref="C3:E3"/>
    <mergeCell ref="B2:Q2"/>
    <mergeCell ref="B3:B4"/>
    <mergeCell ref="K3:M3"/>
    <mergeCell ref="O3:Q3"/>
  </mergeCells>
  <printOptions horizontalCentered="1"/>
  <pageMargins left="0.45" right="0.45" top="0.5" bottom="0.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3"/>
  <sheetViews>
    <sheetView rightToLeft="1" view="pageBreakPreview" zoomScaleNormal="142" zoomScaleSheetLayoutView="100" workbookViewId="0">
      <selection activeCell="E7" sqref="E7"/>
    </sheetView>
  </sheetViews>
  <sheetFormatPr defaultColWidth="9.140625" defaultRowHeight="15" x14ac:dyDescent="0.25"/>
  <cols>
    <col min="1" max="1" width="5.42578125" style="1" customWidth="1"/>
    <col min="2" max="2" width="20" style="1" customWidth="1"/>
    <col min="3" max="3" width="24.28515625" style="1" customWidth="1"/>
    <col min="4" max="4" width="20" style="1" customWidth="1"/>
    <col min="5" max="5" width="25.28515625" style="1" customWidth="1"/>
    <col min="6" max="6" width="9.140625" style="1"/>
    <col min="7" max="7" width="9.28515625" style="1" bestFit="1" customWidth="1"/>
    <col min="8" max="8" width="18" style="1" bestFit="1" customWidth="1"/>
    <col min="9" max="9" width="11" style="1" bestFit="1" customWidth="1"/>
    <col min="10" max="16384" width="9.140625" style="1"/>
  </cols>
  <sheetData>
    <row r="1" spans="1:9" ht="26.25" customHeight="1" x14ac:dyDescent="0.25">
      <c r="B1" s="761" t="s">
        <v>510</v>
      </c>
      <c r="C1" s="761"/>
      <c r="D1" s="761"/>
      <c r="E1" s="761"/>
    </row>
    <row r="2" spans="1:9" ht="23.25" customHeight="1" thickBot="1" x14ac:dyDescent="0.3">
      <c r="B2" s="762" t="s">
        <v>401</v>
      </c>
      <c r="C2" s="762"/>
      <c r="D2" s="762"/>
      <c r="E2" s="762"/>
    </row>
    <row r="3" spans="1:9" ht="38.25" customHeight="1" thickTop="1" x14ac:dyDescent="0.25">
      <c r="A3" s="169"/>
      <c r="B3" s="179" t="s">
        <v>1</v>
      </c>
      <c r="C3" s="179" t="s">
        <v>378</v>
      </c>
      <c r="D3" s="179" t="s">
        <v>5</v>
      </c>
      <c r="E3" s="179" t="s">
        <v>520</v>
      </c>
    </row>
    <row r="4" spans="1:9" ht="29.25" customHeight="1" x14ac:dyDescent="0.25">
      <c r="B4" s="56" t="s">
        <v>6</v>
      </c>
      <c r="C4" s="59">
        <v>50.12</v>
      </c>
      <c r="D4" s="111">
        <v>32489972</v>
      </c>
      <c r="E4" s="59">
        <v>1542.6298305212451</v>
      </c>
      <c r="G4" s="4">
        <v>50.12</v>
      </c>
      <c r="H4" s="495">
        <f t="shared" ref="H4:H8" si="0">G4*1000000000</f>
        <v>50120000000</v>
      </c>
      <c r="I4" s="6">
        <f t="shared" ref="I4:I11" si="1">H4/D4</f>
        <v>1542.6298305212451</v>
      </c>
    </row>
    <row r="5" spans="1:9" ht="29.25" customHeight="1" x14ac:dyDescent="0.25">
      <c r="B5" s="56" t="s">
        <v>2</v>
      </c>
      <c r="C5" s="59">
        <v>47.57</v>
      </c>
      <c r="D5" s="111">
        <v>33338757</v>
      </c>
      <c r="E5" s="59">
        <v>1426.8678343346753</v>
      </c>
      <c r="G5" s="4">
        <v>47.57</v>
      </c>
      <c r="H5" s="495">
        <f t="shared" si="0"/>
        <v>47570000000</v>
      </c>
      <c r="I5" s="6">
        <f t="shared" si="1"/>
        <v>1426.8678343346753</v>
      </c>
    </row>
    <row r="6" spans="1:9" ht="29.25" customHeight="1" thickBot="1" x14ac:dyDescent="0.3">
      <c r="B6" s="56" t="s">
        <v>3</v>
      </c>
      <c r="C6" s="59">
        <v>49.11</v>
      </c>
      <c r="D6" s="111">
        <v>34207248</v>
      </c>
      <c r="E6" s="59">
        <v>1435.6606529703881</v>
      </c>
      <c r="G6" s="5">
        <v>49.11</v>
      </c>
      <c r="H6" s="495">
        <f t="shared" si="0"/>
        <v>49110000000</v>
      </c>
      <c r="I6" s="6">
        <f t="shared" si="1"/>
        <v>1435.6606529703881</v>
      </c>
    </row>
    <row r="7" spans="1:9" ht="29.25" customHeight="1" thickTop="1" x14ac:dyDescent="0.25">
      <c r="B7" s="56" t="s">
        <v>207</v>
      </c>
      <c r="C7" s="59">
        <v>56.02</v>
      </c>
      <c r="D7" s="111">
        <v>35095772</v>
      </c>
      <c r="E7" s="59">
        <v>1596.2034406589717</v>
      </c>
      <c r="G7" s="48">
        <v>56.02</v>
      </c>
      <c r="H7" s="495">
        <f t="shared" si="0"/>
        <v>56020000000</v>
      </c>
      <c r="I7" s="6">
        <f t="shared" si="1"/>
        <v>1596.2036680657716</v>
      </c>
    </row>
    <row r="8" spans="1:9" ht="29.25" customHeight="1" x14ac:dyDescent="0.25">
      <c r="B8" s="56" t="s">
        <v>231</v>
      </c>
      <c r="C8" s="59">
        <v>37.25</v>
      </c>
      <c r="D8" s="111">
        <v>36004552</v>
      </c>
      <c r="E8" s="59">
        <v>1034.5913464169005</v>
      </c>
      <c r="G8" s="48">
        <v>37.25</v>
      </c>
      <c r="H8" s="495">
        <f t="shared" si="0"/>
        <v>37250000000</v>
      </c>
      <c r="I8" s="6">
        <f t="shared" si="1"/>
        <v>1034.5914038869307</v>
      </c>
    </row>
    <row r="9" spans="1:9" ht="29.25" customHeight="1" thickBot="1" x14ac:dyDescent="0.3">
      <c r="B9" s="56" t="s">
        <v>238</v>
      </c>
      <c r="C9" s="59">
        <v>35.340000000000003</v>
      </c>
      <c r="D9" s="111">
        <v>35212600</v>
      </c>
      <c r="E9" s="59">
        <v>1003.62</v>
      </c>
      <c r="G9" s="60">
        <v>35.340000000000003</v>
      </c>
      <c r="H9" s="403">
        <f>G9*1000000000</f>
        <v>35340000000</v>
      </c>
      <c r="I9" s="6">
        <f t="shared" si="1"/>
        <v>1003.6180230940062</v>
      </c>
    </row>
    <row r="10" spans="1:9" ht="29.25" customHeight="1" thickTop="1" thickBot="1" x14ac:dyDescent="0.3">
      <c r="B10" s="56" t="s">
        <v>314</v>
      </c>
      <c r="C10" s="59">
        <v>54.75</v>
      </c>
      <c r="D10" s="111">
        <v>36169123</v>
      </c>
      <c r="E10" s="59">
        <f>I10</f>
        <v>1513.7220772535734</v>
      </c>
      <c r="G10" s="60">
        <v>54.75</v>
      </c>
      <c r="H10" s="112">
        <f>G10*1000000000</f>
        <v>54750000000</v>
      </c>
      <c r="I10" s="6">
        <f t="shared" si="1"/>
        <v>1513.7220772535734</v>
      </c>
    </row>
    <row r="11" spans="1:9" ht="29.25" customHeight="1" thickTop="1" thickBot="1" x14ac:dyDescent="0.3">
      <c r="B11" s="56" t="s">
        <v>343</v>
      </c>
      <c r="C11" s="59">
        <v>40.69</v>
      </c>
      <c r="D11" s="111">
        <v>37139519</v>
      </c>
      <c r="E11" s="59">
        <f>I11</f>
        <v>1095.5984648051042</v>
      </c>
      <c r="G11" s="60">
        <v>40.69</v>
      </c>
      <c r="H11" s="112">
        <f>G11*1000000000</f>
        <v>40690000000</v>
      </c>
      <c r="I11" s="60">
        <f t="shared" si="1"/>
        <v>1095.5984648051042</v>
      </c>
    </row>
    <row r="12" spans="1:9" ht="29.25" customHeight="1" thickTop="1" thickBot="1" x14ac:dyDescent="0.3">
      <c r="B12" s="56" t="s">
        <v>379</v>
      </c>
      <c r="C12" s="59">
        <v>33.200000000000003</v>
      </c>
      <c r="D12" s="111">
        <v>38124182</v>
      </c>
      <c r="E12" s="59">
        <f>I12</f>
        <v>870.83835661051046</v>
      </c>
      <c r="G12" s="60">
        <v>33.200000000000003</v>
      </c>
      <c r="H12" s="112">
        <f>G12*1000000000</f>
        <v>33200000000.000004</v>
      </c>
      <c r="I12" s="60">
        <f>H12/D12</f>
        <v>870.83835661051046</v>
      </c>
    </row>
    <row r="13" spans="1:9" ht="29.25" customHeight="1" thickTop="1" thickBot="1" x14ac:dyDescent="0.3">
      <c r="B13" s="57" t="s">
        <v>427</v>
      </c>
      <c r="C13" s="60">
        <f>'1'!P13</f>
        <v>93.509495999999999</v>
      </c>
      <c r="D13" s="112">
        <v>39127889</v>
      </c>
      <c r="E13" s="60">
        <v>2389.8426005042102</v>
      </c>
      <c r="G13" s="60">
        <v>93.509495999999999</v>
      </c>
      <c r="H13" s="112">
        <f>G13*1000000000</f>
        <v>93509496000</v>
      </c>
      <c r="I13" s="60">
        <f>H13/D13</f>
        <v>2389.8426005042083</v>
      </c>
    </row>
    <row r="14" spans="1:9" ht="10.5" customHeight="1" thickTop="1" thickBot="1" x14ac:dyDescent="0.3">
      <c r="B14" s="116"/>
      <c r="C14" s="117"/>
      <c r="D14" s="118"/>
      <c r="E14" s="117"/>
      <c r="G14" s="60"/>
      <c r="H14" s="112"/>
      <c r="I14" s="60"/>
    </row>
    <row r="15" spans="1:9" ht="18.75" customHeight="1" thickTop="1" x14ac:dyDescent="0.25">
      <c r="B15" s="764" t="s">
        <v>415</v>
      </c>
      <c r="C15" s="764"/>
      <c r="D15" s="764"/>
      <c r="E15" s="764"/>
    </row>
    <row r="16" spans="1:9" ht="22.5" customHeight="1" x14ac:dyDescent="0.25">
      <c r="B16" s="764"/>
      <c r="C16" s="764"/>
      <c r="D16" s="764"/>
      <c r="E16" s="764"/>
    </row>
    <row r="17" spans="2:5" ht="24" customHeight="1" x14ac:dyDescent="0.25">
      <c r="B17" s="554"/>
      <c r="C17" s="554"/>
      <c r="D17" s="554"/>
      <c r="E17" s="554"/>
    </row>
    <row r="18" spans="2:5" ht="24" customHeight="1" x14ac:dyDescent="0.25">
      <c r="B18" s="763" t="s">
        <v>4</v>
      </c>
      <c r="C18" s="763"/>
      <c r="D18" s="763"/>
      <c r="E18" s="763"/>
    </row>
    <row r="19" spans="2:5" ht="24" customHeight="1" x14ac:dyDescent="0.25">
      <c r="B19" s="586"/>
      <c r="C19" s="586"/>
      <c r="D19" s="586"/>
      <c r="E19" s="586"/>
    </row>
    <row r="20" spans="2:5" ht="24" customHeight="1" x14ac:dyDescent="0.25">
      <c r="B20" s="751" t="s">
        <v>230</v>
      </c>
      <c r="C20" s="751"/>
      <c r="D20" s="113"/>
      <c r="E20" s="244">
        <v>16</v>
      </c>
    </row>
    <row r="21" spans="2:5" ht="24" customHeight="1" x14ac:dyDescent="0.25"/>
    <row r="22" spans="2:5" ht="24" customHeight="1" x14ac:dyDescent="0.25"/>
    <row r="23" spans="2:5" ht="24" customHeight="1" x14ac:dyDescent="0.25"/>
  </sheetData>
  <mergeCells count="5">
    <mergeCell ref="B20:C20"/>
    <mergeCell ref="B1:E1"/>
    <mergeCell ref="B2:E2"/>
    <mergeCell ref="B18:E18"/>
    <mergeCell ref="B15:E16"/>
  </mergeCells>
  <printOptions horizontalCentered="1"/>
  <pageMargins left="0.45" right="0.45" top="0.5" bottom="0.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5"/>
  <sheetViews>
    <sheetView rightToLeft="1" view="pageBreakPreview" zoomScale="110" zoomScaleSheetLayoutView="110" workbookViewId="0">
      <selection activeCell="G27" sqref="G27"/>
    </sheetView>
  </sheetViews>
  <sheetFormatPr defaultColWidth="10.42578125" defaultRowHeight="14.25" x14ac:dyDescent="0.2"/>
  <cols>
    <col min="1" max="1" width="18.42578125" style="293" customWidth="1"/>
    <col min="2" max="4" width="16.85546875" style="293" customWidth="1"/>
    <col min="5" max="5" width="2" style="293" customWidth="1"/>
    <col min="6" max="8" width="16.85546875" style="293" customWidth="1"/>
    <col min="9" max="16384" width="10.42578125" style="293"/>
  </cols>
  <sheetData>
    <row r="1" spans="1:8" ht="21.75" customHeight="1" x14ac:dyDescent="0.2">
      <c r="A1" s="846" t="s">
        <v>446</v>
      </c>
      <c r="B1" s="846"/>
      <c r="C1" s="846"/>
      <c r="D1" s="846"/>
      <c r="E1" s="846"/>
      <c r="F1" s="846"/>
      <c r="G1" s="846"/>
      <c r="H1" s="846"/>
    </row>
    <row r="2" spans="1:8" ht="21.75" customHeight="1" thickBot="1" x14ac:dyDescent="0.25">
      <c r="A2" s="847" t="s">
        <v>476</v>
      </c>
      <c r="B2" s="847"/>
      <c r="C2" s="847"/>
      <c r="D2" s="847"/>
      <c r="E2" s="847"/>
      <c r="F2" s="847"/>
      <c r="G2" s="847"/>
      <c r="H2" s="847"/>
    </row>
    <row r="3" spans="1:8" ht="21.75" customHeight="1" thickTop="1" x14ac:dyDescent="0.2">
      <c r="A3" s="848" t="s">
        <v>75</v>
      </c>
      <c r="B3" s="844" t="s">
        <v>5</v>
      </c>
      <c r="C3" s="844"/>
      <c r="D3" s="844"/>
      <c r="E3" s="850"/>
      <c r="F3" s="850" t="s">
        <v>294</v>
      </c>
      <c r="G3" s="850"/>
      <c r="H3" s="850"/>
    </row>
    <row r="4" spans="1:8" ht="21.75" customHeight="1" x14ac:dyDescent="0.2">
      <c r="A4" s="849"/>
      <c r="B4" s="292" t="s">
        <v>274</v>
      </c>
      <c r="C4" s="292" t="s">
        <v>91</v>
      </c>
      <c r="D4" s="292" t="s">
        <v>26</v>
      </c>
      <c r="E4" s="853"/>
      <c r="F4" s="292" t="s">
        <v>274</v>
      </c>
      <c r="G4" s="292" t="s">
        <v>91</v>
      </c>
      <c r="H4" s="292" t="s">
        <v>26</v>
      </c>
    </row>
    <row r="5" spans="1:8" s="720" customFormat="1" ht="21.75" customHeight="1" x14ac:dyDescent="0.2">
      <c r="A5" s="628" t="s">
        <v>76</v>
      </c>
      <c r="B5" s="255">
        <v>2321479</v>
      </c>
      <c r="C5" s="255">
        <v>1506718</v>
      </c>
      <c r="D5" s="255">
        <v>3828197</v>
      </c>
      <c r="E5" s="255"/>
      <c r="F5" s="342">
        <f>B5*350/1000</f>
        <v>812517.65</v>
      </c>
      <c r="G5" s="342">
        <f>C5*250/1000</f>
        <v>376679.5</v>
      </c>
      <c r="H5" s="625">
        <f>SUM(F5:G5)</f>
        <v>1189197.1499999999</v>
      </c>
    </row>
    <row r="6" spans="1:8" s="299" customFormat="1" ht="21.75" customHeight="1" x14ac:dyDescent="0.2">
      <c r="A6" s="628" t="s">
        <v>77</v>
      </c>
      <c r="B6" s="255">
        <v>1212210</v>
      </c>
      <c r="C6" s="255">
        <v>427743</v>
      </c>
      <c r="D6" s="255">
        <v>1639953</v>
      </c>
      <c r="E6" s="255"/>
      <c r="F6" s="342">
        <f t="shared" ref="F6:F11" si="0">B6*350/1000</f>
        <v>424273.5</v>
      </c>
      <c r="G6" s="342">
        <f t="shared" ref="G6:G11" si="1">C6*250/1000</f>
        <v>106935.75</v>
      </c>
      <c r="H6" s="343">
        <v>531210</v>
      </c>
    </row>
    <row r="7" spans="1:8" s="299" customFormat="1" ht="21.75" customHeight="1" x14ac:dyDescent="0.2">
      <c r="A7" s="253" t="s">
        <v>78</v>
      </c>
      <c r="B7" s="255">
        <v>826745</v>
      </c>
      <c r="C7" s="255">
        <v>853583</v>
      </c>
      <c r="D7" s="255">
        <v>1680328</v>
      </c>
      <c r="E7" s="255"/>
      <c r="F7" s="342">
        <f t="shared" si="0"/>
        <v>289360.75</v>
      </c>
      <c r="G7" s="342">
        <f t="shared" si="1"/>
        <v>213395.75</v>
      </c>
      <c r="H7" s="343">
        <f t="shared" ref="H7:H13" si="2">SUM(F7:G7)</f>
        <v>502756.5</v>
      </c>
    </row>
    <row r="8" spans="1:8" s="299" customFormat="1" ht="21.75" customHeight="1" x14ac:dyDescent="0.2">
      <c r="A8" s="253" t="s">
        <v>336</v>
      </c>
      <c r="B8" s="255">
        <v>909458</v>
      </c>
      <c r="C8" s="255">
        <v>908860</v>
      </c>
      <c r="D8" s="255">
        <v>1818318</v>
      </c>
      <c r="E8" s="255"/>
      <c r="F8" s="342">
        <f t="shared" si="0"/>
        <v>318310.3</v>
      </c>
      <c r="G8" s="342">
        <f t="shared" si="1"/>
        <v>227215</v>
      </c>
      <c r="H8" s="625">
        <f>SUM(F8:G8)</f>
        <v>545525.30000000005</v>
      </c>
    </row>
    <row r="9" spans="1:8" s="299" customFormat="1" ht="21.75" customHeight="1" x14ac:dyDescent="0.2">
      <c r="A9" s="253" t="s">
        <v>89</v>
      </c>
      <c r="B9" s="255">
        <f>'18'!B9</f>
        <v>6150828</v>
      </c>
      <c r="C9" s="255">
        <v>0</v>
      </c>
      <c r="D9" s="255">
        <f>B9+C9</f>
        <v>6150828</v>
      </c>
      <c r="E9" s="255"/>
      <c r="F9" s="342">
        <f t="shared" si="0"/>
        <v>2152789.7999999998</v>
      </c>
      <c r="G9" s="342">
        <f t="shared" si="1"/>
        <v>0</v>
      </c>
      <c r="H9" s="343">
        <f t="shared" si="2"/>
        <v>2152789.7999999998</v>
      </c>
    </row>
    <row r="10" spans="1:8" s="299" customFormat="1" ht="21.75" customHeight="1" x14ac:dyDescent="0.2">
      <c r="A10" s="253" t="s">
        <v>80</v>
      </c>
      <c r="B10" s="255">
        <v>1146604</v>
      </c>
      <c r="C10" s="255">
        <v>1043279</v>
      </c>
      <c r="D10" s="255">
        <v>2189883</v>
      </c>
      <c r="E10" s="255"/>
      <c r="F10" s="342">
        <f t="shared" si="0"/>
        <v>401311.4</v>
      </c>
      <c r="G10" s="342">
        <f t="shared" si="1"/>
        <v>260819.75</v>
      </c>
      <c r="H10" s="343">
        <f t="shared" si="2"/>
        <v>662131.15</v>
      </c>
    </row>
    <row r="11" spans="1:8" s="299" customFormat="1" ht="21.75" customHeight="1" x14ac:dyDescent="0.2">
      <c r="A11" s="253" t="s">
        <v>82</v>
      </c>
      <c r="B11" s="255">
        <v>1023123</v>
      </c>
      <c r="C11" s="255">
        <v>1096280</v>
      </c>
      <c r="D11" s="251">
        <v>2119403</v>
      </c>
      <c r="E11" s="255"/>
      <c r="F11" s="342">
        <f t="shared" si="0"/>
        <v>358093.05</v>
      </c>
      <c r="G11" s="342">
        <f t="shared" si="1"/>
        <v>274070</v>
      </c>
      <c r="H11" s="343">
        <f t="shared" si="2"/>
        <v>632163.05000000005</v>
      </c>
    </row>
    <row r="12" spans="1:8" s="299" customFormat="1" ht="21.75" customHeight="1" x14ac:dyDescent="0.2">
      <c r="A12" s="253" t="s">
        <v>74</v>
      </c>
      <c r="B12" s="255">
        <v>836316</v>
      </c>
      <c r="C12" s="255">
        <v>414490</v>
      </c>
      <c r="D12" s="251">
        <v>1250806</v>
      </c>
      <c r="E12" s="251"/>
      <c r="F12" s="342">
        <f t="shared" ref="F12:F18" si="3">B12*350/1000</f>
        <v>292710.59999999998</v>
      </c>
      <c r="G12" s="342">
        <f t="shared" ref="G12:G18" si="4">C12*250/1000</f>
        <v>103622.5</v>
      </c>
      <c r="H12" s="343">
        <v>396334</v>
      </c>
    </row>
    <row r="13" spans="1:8" s="298" customFormat="1" ht="21.75" customHeight="1" x14ac:dyDescent="0.2">
      <c r="A13" s="253" t="s">
        <v>81</v>
      </c>
      <c r="B13" s="255">
        <v>851628</v>
      </c>
      <c r="C13" s="255">
        <v>563406</v>
      </c>
      <c r="D13" s="255">
        <v>1415034</v>
      </c>
      <c r="E13" s="255"/>
      <c r="F13" s="342">
        <v>298069</v>
      </c>
      <c r="G13" s="342">
        <v>140851</v>
      </c>
      <c r="H13" s="343">
        <f t="shared" si="2"/>
        <v>438920</v>
      </c>
    </row>
    <row r="14" spans="1:8" s="298" customFormat="1" ht="21.75" customHeight="1" x14ac:dyDescent="0.2">
      <c r="A14" s="253" t="s">
        <v>79</v>
      </c>
      <c r="B14" s="255">
        <v>738274</v>
      </c>
      <c r="C14" s="255">
        <v>898958</v>
      </c>
      <c r="D14" s="255">
        <v>1637232</v>
      </c>
      <c r="E14" s="255"/>
      <c r="F14" s="342">
        <f t="shared" si="3"/>
        <v>258395.9</v>
      </c>
      <c r="G14" s="342">
        <f t="shared" si="4"/>
        <v>224739.5</v>
      </c>
      <c r="H14" s="343">
        <v>483136</v>
      </c>
    </row>
    <row r="15" spans="1:8" s="298" customFormat="1" ht="21.75" customHeight="1" x14ac:dyDescent="0.2">
      <c r="A15" s="253" t="s">
        <v>83</v>
      </c>
      <c r="B15" s="255">
        <v>1078638</v>
      </c>
      <c r="C15" s="255">
        <v>431700</v>
      </c>
      <c r="D15" s="255">
        <f>B15+C15</f>
        <v>1510338</v>
      </c>
      <c r="E15" s="255"/>
      <c r="F15" s="342">
        <f t="shared" si="3"/>
        <v>377523.3</v>
      </c>
      <c r="G15" s="342">
        <f t="shared" si="4"/>
        <v>107925</v>
      </c>
      <c r="H15" s="343">
        <f>SUM(F15:G15)</f>
        <v>485448.3</v>
      </c>
    </row>
    <row r="16" spans="1:8" s="298" customFormat="1" ht="21.75" customHeight="1" x14ac:dyDescent="0.2">
      <c r="A16" s="253" t="s">
        <v>84</v>
      </c>
      <c r="B16" s="255">
        <v>759071</v>
      </c>
      <c r="C16" s="255">
        <v>565960</v>
      </c>
      <c r="D16" s="255">
        <f>SUM(B16:C16)</f>
        <v>1325031</v>
      </c>
      <c r="E16" s="255"/>
      <c r="F16" s="342">
        <f t="shared" si="3"/>
        <v>265674.84999999998</v>
      </c>
      <c r="G16" s="342">
        <f t="shared" si="4"/>
        <v>141490</v>
      </c>
      <c r="H16" s="343">
        <f>SUM(F16:G16)</f>
        <v>407164.85</v>
      </c>
    </row>
    <row r="17" spans="1:14" s="298" customFormat="1" ht="21.75" customHeight="1" x14ac:dyDescent="0.2">
      <c r="A17" s="253" t="s">
        <v>85</v>
      </c>
      <c r="B17" s="255">
        <v>388176</v>
      </c>
      <c r="C17" s="255">
        <v>447621</v>
      </c>
      <c r="D17" s="255">
        <v>835797</v>
      </c>
      <c r="E17" s="255"/>
      <c r="F17" s="342">
        <f t="shared" si="3"/>
        <v>135861.6</v>
      </c>
      <c r="G17" s="342">
        <f t="shared" si="4"/>
        <v>111905.25</v>
      </c>
      <c r="H17" s="343">
        <f>SUM(F17:G17)</f>
        <v>247766.85</v>
      </c>
    </row>
    <row r="18" spans="1:14" s="298" customFormat="1" ht="21.75" customHeight="1" x14ac:dyDescent="0.2">
      <c r="A18" s="253" t="s">
        <v>86</v>
      </c>
      <c r="B18" s="255">
        <v>1380216</v>
      </c>
      <c r="C18" s="255">
        <v>770122</v>
      </c>
      <c r="D18" s="255">
        <v>2150338</v>
      </c>
      <c r="E18" s="255"/>
      <c r="F18" s="342">
        <f t="shared" si="3"/>
        <v>483075.6</v>
      </c>
      <c r="G18" s="342">
        <f t="shared" si="4"/>
        <v>192530.5</v>
      </c>
      <c r="H18" s="343">
        <v>675607</v>
      </c>
    </row>
    <row r="19" spans="1:14" s="298" customFormat="1" ht="21.75" customHeight="1" x14ac:dyDescent="0.2">
      <c r="A19" s="253" t="s">
        <v>87</v>
      </c>
      <c r="B19" s="255">
        <v>843494</v>
      </c>
      <c r="C19" s="255">
        <v>298472</v>
      </c>
      <c r="D19" s="255">
        <v>1141966</v>
      </c>
      <c r="E19" s="255"/>
      <c r="F19" s="342">
        <f>B19*350/1000</f>
        <v>295222.90000000002</v>
      </c>
      <c r="G19" s="342">
        <f>C19*250/1000</f>
        <v>74618</v>
      </c>
      <c r="H19" s="343">
        <f>SUM(F19:G19)</f>
        <v>369840.9</v>
      </c>
    </row>
    <row r="20" spans="1:14" s="298" customFormat="1" ht="21.75" customHeight="1" thickBot="1" x14ac:dyDescent="0.25">
      <c r="A20" s="256" t="s">
        <v>88</v>
      </c>
      <c r="B20" s="255">
        <v>2424321</v>
      </c>
      <c r="C20" s="255">
        <v>560752</v>
      </c>
      <c r="D20" s="251">
        <v>2985073</v>
      </c>
      <c r="E20" s="251"/>
      <c r="F20" s="342">
        <f>B20*350/1000</f>
        <v>848512.35</v>
      </c>
      <c r="G20" s="342">
        <f>C20*250/1000</f>
        <v>140188</v>
      </c>
      <c r="H20" s="343">
        <f>SUM(F20:G20)</f>
        <v>988700.35</v>
      </c>
    </row>
    <row r="21" spans="1:14" s="246" customFormat="1" ht="21.75" customHeight="1" thickTop="1" thickBot="1" x14ac:dyDescent="0.25">
      <c r="A21" s="265" t="s">
        <v>313</v>
      </c>
      <c r="B21" s="268">
        <f>SUM(B5:B20)</f>
        <v>22890581</v>
      </c>
      <c r="C21" s="268">
        <f>SUM(C5:C20)</f>
        <v>10787944</v>
      </c>
      <c r="D21" s="268">
        <f>SUM(D5:D20)</f>
        <v>33678525</v>
      </c>
      <c r="E21" s="268"/>
      <c r="F21" s="268">
        <f>SUM(F5:F20)</f>
        <v>8011702.5499999989</v>
      </c>
      <c r="G21" s="268">
        <f>SUM(G5:G20)</f>
        <v>2696985.5</v>
      </c>
      <c r="H21" s="268">
        <f>SUM(H5:H20)</f>
        <v>10708691.199999999</v>
      </c>
      <c r="J21" s="525">
        <f>SUM(F5:F20)</f>
        <v>8011702.5499999989</v>
      </c>
      <c r="K21" s="525">
        <f>SUM(G5:G20)</f>
        <v>2696985.5</v>
      </c>
    </row>
    <row r="22" spans="1:14" s="246" customFormat="1" ht="16.5" customHeight="1" thickTop="1" x14ac:dyDescent="0.2">
      <c r="A22" s="839" t="s">
        <v>271</v>
      </c>
      <c r="B22" s="839"/>
      <c r="C22" s="839"/>
      <c r="D22" s="839"/>
      <c r="E22" s="839"/>
      <c r="F22" s="839"/>
      <c r="G22" s="839"/>
      <c r="H22" s="839"/>
    </row>
    <row r="23" spans="1:14" s="246" customFormat="1" ht="16.5" customHeight="1" x14ac:dyDescent="0.25">
      <c r="A23" s="833"/>
      <c r="B23" s="833"/>
      <c r="C23" s="833"/>
      <c r="D23" s="833"/>
      <c r="E23" s="833"/>
      <c r="F23" s="640"/>
      <c r="G23" s="640"/>
      <c r="H23" s="9"/>
      <c r="I23"/>
      <c r="J23"/>
      <c r="K23" s="257"/>
      <c r="L23" s="249"/>
      <c r="M23" s="248"/>
      <c r="N23" s="248"/>
    </row>
    <row r="24" spans="1:14" s="246" customFormat="1" ht="16.5" customHeight="1" thickBot="1" x14ac:dyDescent="0.25">
      <c r="A24" s="259"/>
      <c r="B24" s="270"/>
      <c r="C24" s="270"/>
      <c r="D24" s="270"/>
      <c r="E24" s="270"/>
      <c r="F24" s="261"/>
      <c r="G24" s="261"/>
      <c r="H24" s="262"/>
    </row>
    <row r="25" spans="1:14" ht="16.5" customHeight="1" x14ac:dyDescent="0.2">
      <c r="A25" s="811" t="s">
        <v>255</v>
      </c>
      <c r="B25" s="811"/>
      <c r="C25" s="811"/>
      <c r="D25" s="811"/>
      <c r="E25" s="522"/>
      <c r="F25" s="295"/>
      <c r="G25" s="295"/>
      <c r="H25" s="340">
        <v>34</v>
      </c>
    </row>
  </sheetData>
  <mergeCells count="9">
    <mergeCell ref="A22:H22"/>
    <mergeCell ref="A25:D25"/>
    <mergeCell ref="A1:H1"/>
    <mergeCell ref="A2:H2"/>
    <mergeCell ref="A3:A4"/>
    <mergeCell ref="B3:D3"/>
    <mergeCell ref="E3:E4"/>
    <mergeCell ref="F3:H3"/>
    <mergeCell ref="A23:E23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45"/>
  <sheetViews>
    <sheetView rightToLeft="1" view="pageBreakPreview" topLeftCell="A7" zoomScale="90" zoomScaleSheetLayoutView="90" workbookViewId="0">
      <selection activeCell="K25" sqref="K25"/>
    </sheetView>
  </sheetViews>
  <sheetFormatPr defaultColWidth="10.42578125" defaultRowHeight="14.25" x14ac:dyDescent="0.2"/>
  <cols>
    <col min="1" max="1" width="12.85546875" style="293" customWidth="1"/>
    <col min="2" max="2" width="16.42578125" style="293" customWidth="1"/>
    <col min="3" max="6" width="15.7109375" style="293" customWidth="1"/>
    <col min="7" max="7" width="0.85546875" style="293" customWidth="1"/>
    <col min="8" max="11" width="12" style="293" customWidth="1"/>
    <col min="12" max="14" width="0" style="293" hidden="1" customWidth="1"/>
    <col min="15" max="16384" width="10.42578125" style="293"/>
  </cols>
  <sheetData>
    <row r="1" spans="1:14" ht="22.5" customHeight="1" x14ac:dyDescent="0.2">
      <c r="A1" s="846" t="s">
        <v>447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</row>
    <row r="2" spans="1:14" ht="22.5" customHeight="1" thickBot="1" x14ac:dyDescent="0.25">
      <c r="A2" s="847" t="s">
        <v>409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</row>
    <row r="3" spans="1:14" ht="29.25" customHeight="1" thickTop="1" x14ac:dyDescent="0.2">
      <c r="A3" s="848" t="s">
        <v>75</v>
      </c>
      <c r="B3" s="848" t="s">
        <v>359</v>
      </c>
      <c r="C3" s="844" t="s">
        <v>316</v>
      </c>
      <c r="D3" s="844"/>
      <c r="E3" s="844"/>
      <c r="F3" s="844"/>
      <c r="G3" s="850"/>
      <c r="H3" s="850" t="s">
        <v>317</v>
      </c>
      <c r="I3" s="850"/>
      <c r="J3" s="850"/>
      <c r="K3" s="850"/>
    </row>
    <row r="4" spans="1:14" ht="22.5" customHeight="1" x14ac:dyDescent="0.2">
      <c r="A4" s="849"/>
      <c r="B4" s="849"/>
      <c r="C4" s="292" t="s">
        <v>295</v>
      </c>
      <c r="D4" s="292" t="s">
        <v>296</v>
      </c>
      <c r="E4" s="292" t="s">
        <v>297</v>
      </c>
      <c r="F4" s="292" t="s">
        <v>26</v>
      </c>
      <c r="G4" s="853"/>
      <c r="H4" s="292" t="s">
        <v>295</v>
      </c>
      <c r="I4" s="292" t="s">
        <v>296</v>
      </c>
      <c r="J4" s="292" t="s">
        <v>297</v>
      </c>
      <c r="K4" s="292" t="s">
        <v>26</v>
      </c>
    </row>
    <row r="5" spans="1:14" s="720" customFormat="1" ht="22.5" customHeight="1" x14ac:dyDescent="0.2">
      <c r="A5" s="628" t="s">
        <v>76</v>
      </c>
      <c r="B5" s="251">
        <f>'15'!T5</f>
        <v>1694655</v>
      </c>
      <c r="C5" s="255">
        <f>B5*H5/100</f>
        <v>1525189.5</v>
      </c>
      <c r="D5" s="255">
        <v>118625</v>
      </c>
      <c r="E5" s="255">
        <f>B5*J5/100</f>
        <v>50839.65</v>
      </c>
      <c r="F5" s="255">
        <v>1694655</v>
      </c>
      <c r="G5" s="255"/>
      <c r="H5" s="552">
        <v>90</v>
      </c>
      <c r="I5" s="552">
        <v>7</v>
      </c>
      <c r="J5" s="552">
        <v>3</v>
      </c>
      <c r="K5" s="627">
        <f>SUM(H5:J5)</f>
        <v>100</v>
      </c>
    </row>
    <row r="6" spans="1:14" s="299" customFormat="1" ht="22.5" customHeight="1" x14ac:dyDescent="0.2">
      <c r="A6" s="628" t="s">
        <v>77</v>
      </c>
      <c r="B6" s="251">
        <f>'15'!T6</f>
        <v>504405</v>
      </c>
      <c r="C6" s="255">
        <f t="shared" ref="C6:C12" si="0">B6*H6/100</f>
        <v>464052.6</v>
      </c>
      <c r="D6" s="255">
        <f>B6*I6/100</f>
        <v>5044.05</v>
      </c>
      <c r="E6" s="255">
        <f>B6*J6/100</f>
        <v>35308.35</v>
      </c>
      <c r="F6" s="255">
        <f t="shared" ref="F6:F13" si="1">SUM(C6:E6)</f>
        <v>504404.99999999994</v>
      </c>
      <c r="G6" s="255"/>
      <c r="H6" s="552">
        <v>92</v>
      </c>
      <c r="I6" s="552">
        <v>1</v>
      </c>
      <c r="J6" s="552">
        <v>7</v>
      </c>
      <c r="K6" s="553">
        <f>SUM(H6:J6)</f>
        <v>100</v>
      </c>
    </row>
    <row r="7" spans="1:14" s="299" customFormat="1" ht="22.5" customHeight="1" x14ac:dyDescent="0.2">
      <c r="A7" s="253" t="s">
        <v>78</v>
      </c>
      <c r="B7" s="251">
        <f>'16'!C6</f>
        <v>485128</v>
      </c>
      <c r="C7" s="255">
        <f t="shared" si="0"/>
        <v>465722.88</v>
      </c>
      <c r="D7" s="255">
        <f>I7*B7/100</f>
        <v>14553.84</v>
      </c>
      <c r="E7" s="255">
        <f>J7*B7/100</f>
        <v>4851.28</v>
      </c>
      <c r="F7" s="255">
        <f t="shared" si="1"/>
        <v>485128.00000000006</v>
      </c>
      <c r="G7" s="255"/>
      <c r="H7" s="552">
        <v>96</v>
      </c>
      <c r="I7" s="552">
        <v>3</v>
      </c>
      <c r="J7" s="552">
        <v>1</v>
      </c>
      <c r="K7" s="553">
        <v>100</v>
      </c>
    </row>
    <row r="8" spans="1:14" s="299" customFormat="1" ht="22.5" customHeight="1" x14ac:dyDescent="0.2">
      <c r="A8" s="253" t="s">
        <v>336</v>
      </c>
      <c r="B8" s="251">
        <f>'15'!T8</f>
        <v>452256</v>
      </c>
      <c r="C8" s="255">
        <f t="shared" si="0"/>
        <v>361804.79999999999</v>
      </c>
      <c r="D8" s="255">
        <f t="shared" ref="D8:D13" si="2">B8*I8/100</f>
        <v>45225.599999999999</v>
      </c>
      <c r="E8" s="255">
        <f t="shared" ref="E8:E13" si="3">B8*J8/100</f>
        <v>45225.599999999999</v>
      </c>
      <c r="F8" s="255">
        <f t="shared" si="1"/>
        <v>452255.99999999994</v>
      </c>
      <c r="G8" s="255"/>
      <c r="H8" s="552">
        <v>80</v>
      </c>
      <c r="I8" s="552">
        <v>10</v>
      </c>
      <c r="J8" s="552">
        <v>10</v>
      </c>
      <c r="K8" s="627">
        <f>SUM(H8:J8)</f>
        <v>100</v>
      </c>
    </row>
    <row r="9" spans="1:14" s="299" customFormat="1" ht="22.5" customHeight="1" x14ac:dyDescent="0.2">
      <c r="A9" s="253" t="s">
        <v>89</v>
      </c>
      <c r="B9" s="251">
        <f>'16'!C8</f>
        <v>4087612</v>
      </c>
      <c r="C9" s="255">
        <f t="shared" si="0"/>
        <v>3498995.872</v>
      </c>
      <c r="D9" s="255">
        <f t="shared" si="2"/>
        <v>40876.120000000003</v>
      </c>
      <c r="E9" s="255">
        <f t="shared" si="3"/>
        <v>547740.00800000003</v>
      </c>
      <c r="F9" s="255">
        <f t="shared" si="1"/>
        <v>4087612</v>
      </c>
      <c r="G9" s="255"/>
      <c r="H9" s="552">
        <v>85.6</v>
      </c>
      <c r="I9" s="552">
        <v>1</v>
      </c>
      <c r="J9" s="552">
        <v>13.4</v>
      </c>
      <c r="K9" s="553">
        <f>SUM(H9:J9)</f>
        <v>100</v>
      </c>
    </row>
    <row r="10" spans="1:14" s="299" customFormat="1" ht="22.5" customHeight="1" x14ac:dyDescent="0.2">
      <c r="A10" s="253" t="s">
        <v>80</v>
      </c>
      <c r="B10" s="251">
        <f>'15'!T10</f>
        <v>550051</v>
      </c>
      <c r="C10" s="255">
        <f t="shared" si="0"/>
        <v>385035.7</v>
      </c>
      <c r="D10" s="255">
        <f t="shared" si="2"/>
        <v>110010.2</v>
      </c>
      <c r="E10" s="255">
        <f t="shared" si="3"/>
        <v>55005.1</v>
      </c>
      <c r="F10" s="255">
        <f t="shared" si="1"/>
        <v>550051</v>
      </c>
      <c r="G10" s="255"/>
      <c r="H10" s="552">
        <v>70</v>
      </c>
      <c r="I10" s="552">
        <v>20</v>
      </c>
      <c r="J10" s="552">
        <v>10</v>
      </c>
      <c r="K10" s="553">
        <f>SUM(H10:J10)</f>
        <v>100</v>
      </c>
      <c r="L10" s="299">
        <v>564947.6</v>
      </c>
      <c r="M10" s="299">
        <v>161413.6</v>
      </c>
      <c r="N10" s="299">
        <v>80706.8</v>
      </c>
    </row>
    <row r="11" spans="1:14" s="299" customFormat="1" ht="22.5" customHeight="1" x14ac:dyDescent="0.2">
      <c r="A11" s="253" t="s">
        <v>82</v>
      </c>
      <c r="B11" s="251">
        <f>'15'!T11</f>
        <v>804481</v>
      </c>
      <c r="C11" s="255">
        <f t="shared" si="0"/>
        <v>772301.76</v>
      </c>
      <c r="D11" s="255">
        <f t="shared" si="2"/>
        <v>8044.81</v>
      </c>
      <c r="E11" s="255">
        <f t="shared" si="3"/>
        <v>24134.43</v>
      </c>
      <c r="F11" s="255">
        <f t="shared" si="1"/>
        <v>804481.00000000012</v>
      </c>
      <c r="G11" s="255"/>
      <c r="H11" s="552">
        <v>96</v>
      </c>
      <c r="I11" s="552">
        <v>1</v>
      </c>
      <c r="J11" s="552">
        <v>3</v>
      </c>
      <c r="K11" s="553">
        <v>100</v>
      </c>
    </row>
    <row r="12" spans="1:14" s="299" customFormat="1" ht="22.5" customHeight="1" x14ac:dyDescent="0.2">
      <c r="A12" s="253" t="s">
        <v>74</v>
      </c>
      <c r="B12" s="251">
        <f>'15'!T12</f>
        <v>570764</v>
      </c>
      <c r="C12" s="255">
        <f t="shared" si="0"/>
        <v>485149.4</v>
      </c>
      <c r="D12" s="255">
        <f t="shared" si="2"/>
        <v>11415.28</v>
      </c>
      <c r="E12" s="255">
        <f t="shared" si="3"/>
        <v>74199.320000000007</v>
      </c>
      <c r="F12" s="255">
        <f t="shared" si="1"/>
        <v>570764</v>
      </c>
      <c r="G12" s="251"/>
      <c r="H12" s="552">
        <v>85</v>
      </c>
      <c r="I12" s="552">
        <v>2</v>
      </c>
      <c r="J12" s="552">
        <v>13</v>
      </c>
      <c r="K12" s="553">
        <f t="shared" ref="K12:K20" si="4">SUM(H12:J12)</f>
        <v>100</v>
      </c>
    </row>
    <row r="13" spans="1:14" s="298" customFormat="1" ht="22.5" customHeight="1" x14ac:dyDescent="0.2">
      <c r="A13" s="253" t="s">
        <v>81</v>
      </c>
      <c r="B13" s="251">
        <f>'15'!T13</f>
        <v>801315</v>
      </c>
      <c r="C13" s="255">
        <f>B13*H13/100</f>
        <v>560920.5</v>
      </c>
      <c r="D13" s="255">
        <f t="shared" si="2"/>
        <v>224368.2</v>
      </c>
      <c r="E13" s="255">
        <f t="shared" si="3"/>
        <v>16026.3</v>
      </c>
      <c r="F13" s="255">
        <f t="shared" si="1"/>
        <v>801315</v>
      </c>
      <c r="G13" s="255"/>
      <c r="H13" s="552">
        <v>70</v>
      </c>
      <c r="I13" s="552">
        <v>28</v>
      </c>
      <c r="J13" s="552">
        <v>2</v>
      </c>
      <c r="K13" s="553">
        <f t="shared" si="4"/>
        <v>100</v>
      </c>
      <c r="L13" s="298">
        <v>647859.84</v>
      </c>
      <c r="M13" s="298">
        <v>6748.54</v>
      </c>
      <c r="N13" s="298">
        <v>20245.62</v>
      </c>
    </row>
    <row r="14" spans="1:14" s="298" customFormat="1" ht="22.5" customHeight="1" x14ac:dyDescent="0.2">
      <c r="A14" s="253" t="s">
        <v>79</v>
      </c>
      <c r="B14" s="251">
        <f>'15'!T14</f>
        <v>517941</v>
      </c>
      <c r="C14" s="255">
        <f>B14*H14/100</f>
        <v>502402.77</v>
      </c>
      <c r="D14" s="255">
        <f>B14*I14/100</f>
        <v>5179.41</v>
      </c>
      <c r="E14" s="255">
        <f>B14*J14/100</f>
        <v>10358.82</v>
      </c>
      <c r="F14" s="255">
        <f>SUM(C14:E14)</f>
        <v>517941</v>
      </c>
      <c r="G14" s="255"/>
      <c r="H14" s="552">
        <v>97</v>
      </c>
      <c r="I14" s="552">
        <v>1</v>
      </c>
      <c r="J14" s="552">
        <v>2</v>
      </c>
      <c r="K14" s="553">
        <f t="shared" si="4"/>
        <v>100</v>
      </c>
      <c r="L14" s="255">
        <v>485700</v>
      </c>
      <c r="M14" s="255">
        <v>5007</v>
      </c>
      <c r="N14" s="255">
        <v>10015</v>
      </c>
    </row>
    <row r="15" spans="1:14" s="298" customFormat="1" ht="22.5" customHeight="1" x14ac:dyDescent="0.2">
      <c r="A15" s="253" t="s">
        <v>83</v>
      </c>
      <c r="B15" s="251">
        <f>'15'!T15</f>
        <v>761415</v>
      </c>
      <c r="C15" s="255">
        <f t="shared" ref="C15:C20" si="5">B15*H15/100</f>
        <v>685273.5</v>
      </c>
      <c r="D15" s="255">
        <f t="shared" ref="D15:D20" si="6">B15*I15/100</f>
        <v>7614.15</v>
      </c>
      <c r="E15" s="255">
        <f>B15*J15/100</f>
        <v>68527.350000000006</v>
      </c>
      <c r="F15" s="255">
        <f t="shared" ref="F15:F20" si="7">SUM(C15:E15)</f>
        <v>761415</v>
      </c>
      <c r="G15" s="255"/>
      <c r="H15" s="552">
        <v>90</v>
      </c>
      <c r="I15" s="552">
        <v>1</v>
      </c>
      <c r="J15" s="552">
        <v>9</v>
      </c>
      <c r="K15" s="553">
        <f t="shared" si="4"/>
        <v>100</v>
      </c>
    </row>
    <row r="16" spans="1:14" s="298" customFormat="1" ht="22.5" customHeight="1" x14ac:dyDescent="0.2">
      <c r="A16" s="253" t="s">
        <v>84</v>
      </c>
      <c r="B16" s="251">
        <f>'16'!C15</f>
        <v>402640</v>
      </c>
      <c r="C16" s="255">
        <f t="shared" si="5"/>
        <v>346270.4</v>
      </c>
      <c r="D16" s="255">
        <f>B16*I16/100</f>
        <v>44290.400000000001</v>
      </c>
      <c r="E16" s="255">
        <f>B16*J16/100</f>
        <v>12079.2</v>
      </c>
      <c r="F16" s="255">
        <f t="shared" si="7"/>
        <v>402640.00000000006</v>
      </c>
      <c r="G16" s="255"/>
      <c r="H16" s="552">
        <v>86</v>
      </c>
      <c r="I16" s="552">
        <v>11</v>
      </c>
      <c r="J16" s="552">
        <v>3</v>
      </c>
      <c r="K16" s="553">
        <f t="shared" si="4"/>
        <v>100</v>
      </c>
    </row>
    <row r="17" spans="1:15" s="298" customFormat="1" ht="22.5" customHeight="1" x14ac:dyDescent="0.2">
      <c r="A17" s="253" t="s">
        <v>85</v>
      </c>
      <c r="B17" s="251">
        <f>'15'!T17</f>
        <v>241056</v>
      </c>
      <c r="C17" s="255">
        <f t="shared" si="5"/>
        <v>229003.2</v>
      </c>
      <c r="D17" s="255">
        <f t="shared" si="6"/>
        <v>3374.7839999999997</v>
      </c>
      <c r="E17" s="255">
        <f>B17*J17/100</f>
        <v>8678.0159999999996</v>
      </c>
      <c r="F17" s="255">
        <f t="shared" si="7"/>
        <v>241056</v>
      </c>
      <c r="G17" s="255"/>
      <c r="H17" s="552">
        <v>95</v>
      </c>
      <c r="I17" s="552">
        <v>1.4</v>
      </c>
      <c r="J17" s="552">
        <v>3.6</v>
      </c>
      <c r="K17" s="553">
        <f t="shared" si="4"/>
        <v>100</v>
      </c>
    </row>
    <row r="18" spans="1:15" s="298" customFormat="1" ht="22.5" customHeight="1" x14ac:dyDescent="0.2">
      <c r="A18" s="253" t="s">
        <v>86</v>
      </c>
      <c r="B18" s="251">
        <f>'15'!T18</f>
        <v>664474</v>
      </c>
      <c r="C18" s="255">
        <f t="shared" si="5"/>
        <v>637895.04</v>
      </c>
      <c r="D18" s="255">
        <f>B18*I18/100</f>
        <v>6644.74</v>
      </c>
      <c r="E18" s="255">
        <f>J18*B18/100</f>
        <v>19934.22</v>
      </c>
      <c r="F18" s="255">
        <f t="shared" si="7"/>
        <v>664474</v>
      </c>
      <c r="G18" s="255"/>
      <c r="H18" s="552">
        <v>96</v>
      </c>
      <c r="I18" s="552">
        <v>1</v>
      </c>
      <c r="J18" s="552">
        <v>3</v>
      </c>
      <c r="K18" s="553">
        <f t="shared" si="4"/>
        <v>100</v>
      </c>
      <c r="L18" s="298">
        <v>595215.4</v>
      </c>
      <c r="M18" s="255">
        <v>6200.2</v>
      </c>
      <c r="N18" s="298">
        <v>18600.5</v>
      </c>
    </row>
    <row r="19" spans="1:15" s="298" customFormat="1" ht="22.5" customHeight="1" x14ac:dyDescent="0.2">
      <c r="A19" s="253" t="s">
        <v>87</v>
      </c>
      <c r="B19" s="251">
        <f>'15'!T19</f>
        <v>617161</v>
      </c>
      <c r="C19" s="255">
        <f t="shared" si="5"/>
        <v>530758.46</v>
      </c>
      <c r="D19" s="255">
        <f t="shared" si="6"/>
        <v>66036.226999999999</v>
      </c>
      <c r="E19" s="255">
        <f>B19*J19/100</f>
        <v>20366.312999999998</v>
      </c>
      <c r="F19" s="255">
        <f t="shared" si="7"/>
        <v>617160.99999999988</v>
      </c>
      <c r="G19" s="255"/>
      <c r="H19" s="552">
        <v>86</v>
      </c>
      <c r="I19" s="552">
        <v>10.7</v>
      </c>
      <c r="J19" s="552">
        <v>3.3</v>
      </c>
      <c r="K19" s="553">
        <f t="shared" si="4"/>
        <v>100</v>
      </c>
    </row>
    <row r="20" spans="1:15" s="298" customFormat="1" ht="22.5" customHeight="1" thickBot="1" x14ac:dyDescent="0.25">
      <c r="A20" s="256" t="s">
        <v>88</v>
      </c>
      <c r="B20" s="251">
        <f>'15'!T20</f>
        <v>1562056</v>
      </c>
      <c r="C20" s="255">
        <f t="shared" si="5"/>
        <v>1171542</v>
      </c>
      <c r="D20" s="255">
        <f t="shared" si="6"/>
        <v>312411.2</v>
      </c>
      <c r="E20" s="255">
        <f>B20*J20/100</f>
        <v>78102.8</v>
      </c>
      <c r="F20" s="255">
        <f t="shared" si="7"/>
        <v>1562056</v>
      </c>
      <c r="G20" s="251"/>
      <c r="H20" s="654">
        <v>75</v>
      </c>
      <c r="I20" s="654">
        <v>20</v>
      </c>
      <c r="J20" s="654">
        <v>5</v>
      </c>
      <c r="K20" s="553">
        <f t="shared" si="4"/>
        <v>100</v>
      </c>
    </row>
    <row r="21" spans="1:15" s="246" customFormat="1" ht="22.5" customHeight="1" thickTop="1" thickBot="1" x14ac:dyDescent="0.25">
      <c r="A21" s="265" t="s">
        <v>313</v>
      </c>
      <c r="B21" s="268">
        <f>SUM(B5:B20)</f>
        <v>14717410</v>
      </c>
      <c r="C21" s="268">
        <f>SUM(C5:C20)</f>
        <v>12622318.381999999</v>
      </c>
      <c r="D21" s="268">
        <f>SUM(D5:D20)</f>
        <v>1023714.0110000002</v>
      </c>
      <c r="E21" s="268">
        <f>SUM(E5:E20)</f>
        <v>1071376.757</v>
      </c>
      <c r="F21" s="268">
        <f>SUM(F5:F20)</f>
        <v>14717410</v>
      </c>
      <c r="G21" s="268"/>
      <c r="H21" s="377">
        <f>C21/B21*100</f>
        <v>85.764535893204027</v>
      </c>
      <c r="I21" s="377">
        <f>D21/B21*100</f>
        <v>6.9558027601323884</v>
      </c>
      <c r="J21" s="377">
        <f>E21/B21*100</f>
        <v>7.2796555711908546</v>
      </c>
      <c r="K21" s="377">
        <f>SUM(H21:J21)</f>
        <v>99.999994224527271</v>
      </c>
    </row>
    <row r="22" spans="1:15" s="246" customFormat="1" ht="15.75" customHeight="1" thickTop="1" x14ac:dyDescent="0.25">
      <c r="A22" s="833"/>
      <c r="B22" s="833"/>
      <c r="C22" s="833"/>
      <c r="D22" s="833"/>
      <c r="E22" s="833"/>
      <c r="F22" s="413"/>
      <c r="G22" s="413"/>
      <c r="H22"/>
      <c r="I22"/>
      <c r="J22"/>
      <c r="K22" s="257"/>
      <c r="L22" s="249"/>
      <c r="M22" s="248"/>
      <c r="N22" s="248"/>
    </row>
    <row r="23" spans="1:15" s="246" customFormat="1" ht="19.5" customHeight="1" x14ac:dyDescent="0.2">
      <c r="A23" s="832" t="s">
        <v>326</v>
      </c>
      <c r="B23" s="832"/>
      <c r="C23" s="832"/>
      <c r="D23" s="832"/>
      <c r="E23" s="832"/>
      <c r="F23" s="832"/>
      <c r="G23" s="832"/>
      <c r="H23" s="832"/>
      <c r="I23" s="832"/>
      <c r="J23" s="832"/>
      <c r="K23" s="832"/>
      <c r="L23" s="832"/>
      <c r="M23" s="832"/>
      <c r="N23" s="832"/>
      <c r="O23" s="248"/>
    </row>
    <row r="24" spans="1:15" s="246" customFormat="1" ht="19.5" customHeight="1" thickBot="1" x14ac:dyDescent="0.25">
      <c r="A24" s="815" t="s">
        <v>327</v>
      </c>
      <c r="B24" s="815"/>
      <c r="C24" s="815"/>
      <c r="D24" s="815"/>
      <c r="E24" s="815"/>
      <c r="F24" s="815"/>
      <c r="G24" s="815"/>
      <c r="H24" s="815"/>
      <c r="I24" s="815"/>
      <c r="J24" s="815"/>
      <c r="K24" s="815"/>
      <c r="L24" s="815"/>
      <c r="M24" s="815"/>
      <c r="N24" s="815"/>
      <c r="O24" s="248"/>
    </row>
    <row r="25" spans="1:15" ht="21.75" customHeight="1" x14ac:dyDescent="0.2">
      <c r="A25" s="811" t="s">
        <v>255</v>
      </c>
      <c r="B25" s="811"/>
      <c r="C25" s="811"/>
      <c r="D25" s="811"/>
      <c r="E25" s="811"/>
      <c r="F25" s="811"/>
      <c r="G25" s="522"/>
      <c r="H25" s="295"/>
      <c r="I25" s="295"/>
      <c r="J25" s="295"/>
      <c r="K25" s="325">
        <v>35</v>
      </c>
    </row>
    <row r="30" spans="1:15" x14ac:dyDescent="0.2">
      <c r="C30" s="461"/>
    </row>
    <row r="31" spans="1:15" x14ac:dyDescent="0.2">
      <c r="C31" s="461"/>
    </row>
    <row r="32" spans="1:15" x14ac:dyDescent="0.2">
      <c r="C32" s="461"/>
    </row>
    <row r="33" spans="3:3" x14ac:dyDescent="0.2">
      <c r="C33" s="461"/>
    </row>
    <row r="34" spans="3:3" x14ac:dyDescent="0.2">
      <c r="C34" s="461"/>
    </row>
    <row r="35" spans="3:3" x14ac:dyDescent="0.2">
      <c r="C35" s="461"/>
    </row>
    <row r="36" spans="3:3" x14ac:dyDescent="0.2">
      <c r="C36" s="461"/>
    </row>
    <row r="37" spans="3:3" x14ac:dyDescent="0.2">
      <c r="C37" s="461"/>
    </row>
    <row r="38" spans="3:3" x14ac:dyDescent="0.2">
      <c r="C38" s="461"/>
    </row>
    <row r="39" spans="3:3" x14ac:dyDescent="0.2">
      <c r="C39" s="461"/>
    </row>
    <row r="40" spans="3:3" x14ac:dyDescent="0.2">
      <c r="C40" s="461"/>
    </row>
    <row r="41" spans="3:3" x14ac:dyDescent="0.2">
      <c r="C41" s="461"/>
    </row>
    <row r="42" spans="3:3" x14ac:dyDescent="0.2">
      <c r="C42" s="461"/>
    </row>
    <row r="43" spans="3:3" x14ac:dyDescent="0.2">
      <c r="C43" s="461"/>
    </row>
    <row r="44" spans="3:3" x14ac:dyDescent="0.2">
      <c r="C44" s="461"/>
    </row>
    <row r="45" spans="3:3" x14ac:dyDescent="0.2">
      <c r="C45" s="461"/>
    </row>
  </sheetData>
  <mergeCells count="11">
    <mergeCell ref="A25:F25"/>
    <mergeCell ref="A1:K1"/>
    <mergeCell ref="A2:K2"/>
    <mergeCell ref="A3:A4"/>
    <mergeCell ref="C3:F3"/>
    <mergeCell ref="G3:G4"/>
    <mergeCell ref="H3:K3"/>
    <mergeCell ref="A23:N23"/>
    <mergeCell ref="A24:N24"/>
    <mergeCell ref="A22:E22"/>
    <mergeCell ref="B3:B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2"/>
  <sheetViews>
    <sheetView rightToLeft="1" view="pageBreakPreview" zoomScaleSheetLayoutView="100" workbookViewId="0">
      <selection activeCell="B8" sqref="B8"/>
    </sheetView>
  </sheetViews>
  <sheetFormatPr defaultColWidth="10.42578125" defaultRowHeight="14.25" x14ac:dyDescent="0.2"/>
  <cols>
    <col min="1" max="1" width="4.85546875" style="293" customWidth="1"/>
    <col min="2" max="2" width="39.28515625" style="293" customWidth="1"/>
    <col min="3" max="3" width="12.140625" style="293" customWidth="1"/>
    <col min="4" max="4" width="10.7109375" style="293" customWidth="1"/>
    <col min="5" max="5" width="62.7109375" style="293" customWidth="1"/>
    <col min="6" max="16384" width="10.42578125" style="293"/>
  </cols>
  <sheetData>
    <row r="1" spans="1:5" ht="29.25" customHeight="1" x14ac:dyDescent="0.2">
      <c r="B1" s="846" t="s">
        <v>448</v>
      </c>
      <c r="C1" s="846"/>
      <c r="D1" s="846"/>
      <c r="E1" s="846"/>
    </row>
    <row r="2" spans="1:5" ht="29.25" customHeight="1" thickBot="1" x14ac:dyDescent="0.25">
      <c r="B2" s="847" t="s">
        <v>503</v>
      </c>
      <c r="C2" s="847"/>
      <c r="D2" s="847"/>
      <c r="E2" s="847"/>
    </row>
    <row r="3" spans="1:5" ht="42" customHeight="1" thickTop="1" x14ac:dyDescent="0.2">
      <c r="B3" s="329" t="s">
        <v>298</v>
      </c>
      <c r="C3" s="329" t="s">
        <v>299</v>
      </c>
      <c r="D3" s="330" t="s">
        <v>223</v>
      </c>
      <c r="E3" s="330" t="s">
        <v>300</v>
      </c>
    </row>
    <row r="4" spans="1:5" s="246" customFormat="1" ht="22.5" customHeight="1" x14ac:dyDescent="0.55000000000000004">
      <c r="B4" s="395" t="s">
        <v>301</v>
      </c>
      <c r="C4" s="383">
        <v>9</v>
      </c>
      <c r="D4" s="587">
        <f>C4/16*100</f>
        <v>56.25</v>
      </c>
      <c r="E4" s="380" t="s">
        <v>458</v>
      </c>
    </row>
    <row r="5" spans="1:5" s="246" customFormat="1" ht="25.5" x14ac:dyDescent="0.55000000000000004">
      <c r="B5" s="396" t="s">
        <v>302</v>
      </c>
      <c r="C5" s="384">
        <v>13</v>
      </c>
      <c r="D5" s="389">
        <f>C5/16*100</f>
        <v>81.25</v>
      </c>
      <c r="E5" s="381" t="s">
        <v>477</v>
      </c>
    </row>
    <row r="6" spans="1:5" s="246" customFormat="1" ht="25.5" x14ac:dyDescent="0.55000000000000004">
      <c r="B6" s="396" t="s">
        <v>303</v>
      </c>
      <c r="C6" s="385">
        <v>11</v>
      </c>
      <c r="D6" s="389">
        <f t="shared" ref="D6:D18" si="0">C6/16*100</f>
        <v>68.75</v>
      </c>
      <c r="E6" s="381" t="s">
        <v>504</v>
      </c>
    </row>
    <row r="7" spans="1:5" s="246" customFormat="1" ht="22.5" customHeight="1" x14ac:dyDescent="0.55000000000000004">
      <c r="B7" s="396" t="s">
        <v>304</v>
      </c>
      <c r="C7" s="385">
        <v>9</v>
      </c>
      <c r="D7" s="389">
        <f t="shared" si="0"/>
        <v>56.25</v>
      </c>
      <c r="E7" s="381" t="s">
        <v>478</v>
      </c>
    </row>
    <row r="8" spans="1:5" s="246" customFormat="1" ht="22.5" customHeight="1" x14ac:dyDescent="0.55000000000000004">
      <c r="B8" s="396" t="s">
        <v>305</v>
      </c>
      <c r="C8" s="385">
        <v>10</v>
      </c>
      <c r="D8" s="389">
        <f t="shared" si="0"/>
        <v>62.5</v>
      </c>
      <c r="E8" s="381" t="s">
        <v>482</v>
      </c>
    </row>
    <row r="9" spans="1:5" s="246" customFormat="1" ht="22.5" customHeight="1" x14ac:dyDescent="0.55000000000000004">
      <c r="B9" s="397" t="s">
        <v>306</v>
      </c>
      <c r="C9" s="385">
        <v>3</v>
      </c>
      <c r="D9" s="389">
        <f t="shared" si="0"/>
        <v>18.75</v>
      </c>
      <c r="E9" s="381" t="s">
        <v>479</v>
      </c>
    </row>
    <row r="10" spans="1:5" s="252" customFormat="1" ht="22.5" customHeight="1" x14ac:dyDescent="0.55000000000000004">
      <c r="A10" s="246"/>
      <c r="B10" s="396" t="s">
        <v>307</v>
      </c>
      <c r="C10" s="385">
        <v>9</v>
      </c>
      <c r="D10" s="389">
        <v>56.3</v>
      </c>
      <c r="E10" s="381" t="s">
        <v>511</v>
      </c>
    </row>
    <row r="11" spans="1:5" s="252" customFormat="1" ht="22.5" customHeight="1" x14ac:dyDescent="0.55000000000000004">
      <c r="A11" s="246"/>
      <c r="B11" s="396" t="s">
        <v>308</v>
      </c>
      <c r="C11" s="386">
        <v>7</v>
      </c>
      <c r="D11" s="389">
        <f t="shared" si="0"/>
        <v>43.75</v>
      </c>
      <c r="E11" s="381" t="s">
        <v>480</v>
      </c>
    </row>
    <row r="12" spans="1:5" s="252" customFormat="1" ht="22.5" customHeight="1" x14ac:dyDescent="0.55000000000000004">
      <c r="A12" s="246"/>
      <c r="B12" s="396" t="s">
        <v>309</v>
      </c>
      <c r="C12" s="386">
        <v>1</v>
      </c>
      <c r="D12" s="389">
        <f t="shared" si="0"/>
        <v>6.25</v>
      </c>
      <c r="E12" s="382" t="s">
        <v>88</v>
      </c>
    </row>
    <row r="13" spans="1:5" s="252" customFormat="1" ht="21" x14ac:dyDescent="0.55000000000000004">
      <c r="A13" s="246"/>
      <c r="B13" s="396" t="s">
        <v>310</v>
      </c>
      <c r="C13" s="386">
        <v>16</v>
      </c>
      <c r="D13" s="389">
        <f t="shared" si="0"/>
        <v>100</v>
      </c>
      <c r="E13" s="381" t="s">
        <v>512</v>
      </c>
    </row>
    <row r="14" spans="1:5" s="252" customFormat="1" ht="21" x14ac:dyDescent="0.55000000000000004">
      <c r="A14" s="246"/>
      <c r="B14" s="398" t="s">
        <v>311</v>
      </c>
      <c r="C14" s="386">
        <v>15</v>
      </c>
      <c r="D14" s="389">
        <f t="shared" si="0"/>
        <v>93.75</v>
      </c>
      <c r="E14" s="381" t="s">
        <v>513</v>
      </c>
    </row>
    <row r="15" spans="1:5" s="252" customFormat="1" ht="21" x14ac:dyDescent="0.55000000000000004">
      <c r="A15" s="246"/>
      <c r="B15" s="396" t="s">
        <v>312</v>
      </c>
      <c r="C15" s="386">
        <v>16</v>
      </c>
      <c r="D15" s="389">
        <f t="shared" si="0"/>
        <v>100</v>
      </c>
      <c r="E15" s="381" t="s">
        <v>512</v>
      </c>
    </row>
    <row r="16" spans="1:5" s="252" customFormat="1" ht="25.5" x14ac:dyDescent="0.55000000000000004">
      <c r="A16" s="246"/>
      <c r="B16" s="399" t="s">
        <v>323</v>
      </c>
      <c r="C16" s="388">
        <v>13</v>
      </c>
      <c r="D16" s="389">
        <f t="shared" si="0"/>
        <v>81.25</v>
      </c>
      <c r="E16" s="381" t="s">
        <v>481</v>
      </c>
    </row>
    <row r="17" spans="1:16" s="252" customFormat="1" ht="22.5" customHeight="1" x14ac:dyDescent="0.55000000000000004">
      <c r="A17" s="246"/>
      <c r="B17" s="399" t="s">
        <v>355</v>
      </c>
      <c r="C17" s="388">
        <v>5</v>
      </c>
      <c r="D17" s="389">
        <f t="shared" si="0"/>
        <v>31.25</v>
      </c>
      <c r="E17" s="390" t="s">
        <v>505</v>
      </c>
    </row>
    <row r="18" spans="1:16" s="252" customFormat="1" ht="22.5" customHeight="1" thickBot="1" x14ac:dyDescent="0.6">
      <c r="A18" s="246"/>
      <c r="B18" s="400" t="s">
        <v>318</v>
      </c>
      <c r="C18" s="387">
        <v>1</v>
      </c>
      <c r="D18" s="463">
        <f t="shared" si="0"/>
        <v>6.25</v>
      </c>
      <c r="E18" s="391" t="s">
        <v>483</v>
      </c>
    </row>
    <row r="19" spans="1:16" s="246" customFormat="1" ht="22.5" customHeight="1" thickTop="1" x14ac:dyDescent="0.2">
      <c r="B19" s="832" t="s">
        <v>326</v>
      </c>
      <c r="C19" s="832"/>
      <c r="D19" s="832"/>
      <c r="E19" s="832"/>
      <c r="F19" s="832"/>
      <c r="G19" s="832"/>
      <c r="H19" s="832"/>
      <c r="I19" s="832"/>
      <c r="J19" s="832"/>
      <c r="K19" s="832"/>
      <c r="L19" s="832"/>
      <c r="M19" s="832"/>
      <c r="N19" s="832"/>
      <c r="O19" s="832"/>
      <c r="P19" s="248"/>
    </row>
    <row r="20" spans="1:16" s="246" customFormat="1" ht="22.5" customHeight="1" x14ac:dyDescent="0.2">
      <c r="B20" s="815" t="s">
        <v>327</v>
      </c>
      <c r="C20" s="815"/>
      <c r="D20" s="815"/>
      <c r="E20" s="815"/>
      <c r="F20" s="815"/>
      <c r="G20" s="815"/>
      <c r="H20" s="815"/>
      <c r="I20" s="815"/>
      <c r="J20" s="815"/>
      <c r="K20" s="815"/>
      <c r="L20" s="815"/>
      <c r="M20" s="815"/>
      <c r="N20" s="815"/>
      <c r="O20" s="815"/>
      <c r="P20" s="248"/>
    </row>
    <row r="21" spans="1:16" s="246" customFormat="1" ht="22.5" customHeight="1" x14ac:dyDescent="0.2">
      <c r="B21" s="742"/>
      <c r="C21" s="742"/>
      <c r="D21" s="742"/>
      <c r="E21" s="742"/>
      <c r="F21" s="742"/>
      <c r="G21" s="742"/>
      <c r="H21" s="742"/>
      <c r="I21" s="742"/>
      <c r="J21" s="742"/>
      <c r="K21" s="742"/>
      <c r="L21" s="742"/>
      <c r="M21" s="742"/>
      <c r="N21" s="742"/>
      <c r="O21" s="742"/>
      <c r="P21" s="248"/>
    </row>
    <row r="22" spans="1:16" s="246" customFormat="1" ht="22.5" customHeight="1" thickBot="1" x14ac:dyDescent="0.25">
      <c r="B22" s="407"/>
      <c r="C22" s="407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248"/>
    </row>
    <row r="23" spans="1:16" ht="22.5" customHeight="1" x14ac:dyDescent="0.2">
      <c r="B23" s="376" t="s">
        <v>255</v>
      </c>
      <c r="C23" s="376"/>
      <c r="D23" s="376"/>
      <c r="E23" s="376">
        <v>36</v>
      </c>
    </row>
    <row r="26" spans="1:16" x14ac:dyDescent="0.2">
      <c r="E26" s="380"/>
    </row>
    <row r="27" spans="1:16" x14ac:dyDescent="0.2">
      <c r="E27" s="381"/>
    </row>
    <row r="28" spans="1:16" ht="25.5" x14ac:dyDescent="0.2">
      <c r="E28" s="381" t="s">
        <v>391</v>
      </c>
    </row>
    <row r="29" spans="1:16" x14ac:dyDescent="0.2">
      <c r="E29" s="381"/>
    </row>
    <row r="30" spans="1:16" x14ac:dyDescent="0.2">
      <c r="E30" s="381"/>
    </row>
    <row r="31" spans="1:16" x14ac:dyDescent="0.2">
      <c r="E31" s="381"/>
    </row>
    <row r="32" spans="1:16" x14ac:dyDescent="0.2">
      <c r="E32" s="381"/>
    </row>
  </sheetData>
  <mergeCells count="4">
    <mergeCell ref="B1:E1"/>
    <mergeCell ref="B2:E2"/>
    <mergeCell ref="B19:O19"/>
    <mergeCell ref="B20:O20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N30"/>
  <sheetViews>
    <sheetView rightToLeft="1" view="pageBreakPreview" zoomScale="110" zoomScaleNormal="100" zoomScaleSheetLayoutView="110" workbookViewId="0">
      <selection activeCell="D10" sqref="D10"/>
    </sheetView>
  </sheetViews>
  <sheetFormatPr defaultColWidth="9.140625" defaultRowHeight="21.75" customHeight="1" x14ac:dyDescent="0.25"/>
  <cols>
    <col min="1" max="1" width="1.28515625" style="45" customWidth="1"/>
    <col min="2" max="5" width="18.42578125" style="45" customWidth="1"/>
    <col min="6" max="6" width="13" style="45" customWidth="1"/>
    <col min="7" max="7" width="13.5703125" style="45" customWidth="1"/>
    <col min="8" max="8" width="1.140625" style="45" customWidth="1"/>
    <col min="9" max="9" width="17.28515625" style="45" customWidth="1"/>
    <col min="10" max="10" width="1.140625" style="45" customWidth="1"/>
    <col min="11" max="11" width="15.7109375" style="45" customWidth="1"/>
    <col min="12" max="12" width="0.85546875" style="45" customWidth="1"/>
    <col min="13" max="13" width="4.85546875" style="45" customWidth="1"/>
    <col min="14" max="14" width="14.140625" style="45" customWidth="1"/>
    <col min="15" max="16384" width="9.140625" style="45"/>
  </cols>
  <sheetData>
    <row r="1" spans="2:5" ht="27" customHeight="1" x14ac:dyDescent="0.25">
      <c r="B1" s="753" t="s">
        <v>455</v>
      </c>
      <c r="C1" s="753"/>
      <c r="D1" s="753"/>
      <c r="E1" s="753"/>
    </row>
    <row r="2" spans="2:5" s="168" customFormat="1" ht="27" customHeight="1" thickBot="1" x14ac:dyDescent="0.3">
      <c r="B2" s="754" t="s">
        <v>506</v>
      </c>
      <c r="C2" s="754"/>
      <c r="D2" s="754"/>
      <c r="E2" s="754"/>
    </row>
    <row r="3" spans="2:5" s="11" customFormat="1" ht="37.5" customHeight="1" thickTop="1" x14ac:dyDescent="0.25">
      <c r="B3" s="179" t="s">
        <v>75</v>
      </c>
      <c r="C3" s="179" t="s">
        <v>381</v>
      </c>
      <c r="D3" s="179" t="s">
        <v>382</v>
      </c>
      <c r="E3" s="179" t="s">
        <v>383</v>
      </c>
    </row>
    <row r="4" spans="2:5" s="11" customFormat="1" ht="27.75" customHeight="1" x14ac:dyDescent="0.25">
      <c r="B4" s="245" t="s">
        <v>76</v>
      </c>
      <c r="C4" s="465">
        <v>3844</v>
      </c>
      <c r="D4" s="465">
        <v>435</v>
      </c>
      <c r="E4" s="539">
        <f>D4/C4*100</f>
        <v>11.31633714880333</v>
      </c>
    </row>
    <row r="5" spans="2:5" s="11" customFormat="1" ht="27.75" customHeight="1" x14ac:dyDescent="0.25">
      <c r="B5" s="245" t="s">
        <v>77</v>
      </c>
      <c r="C5" s="90">
        <v>4258</v>
      </c>
      <c r="D5" s="90">
        <v>304</v>
      </c>
      <c r="E5" s="539">
        <f t="shared" ref="E5:E19" si="0">D5/C5*100</f>
        <v>7.1395021136683887</v>
      </c>
    </row>
    <row r="6" spans="2:5" s="11" customFormat="1" ht="27.75" customHeight="1" x14ac:dyDescent="0.25">
      <c r="B6" s="247" t="s">
        <v>78</v>
      </c>
      <c r="C6" s="90">
        <v>3362</v>
      </c>
      <c r="D6" s="90">
        <v>422</v>
      </c>
      <c r="E6" s="539">
        <f t="shared" si="0"/>
        <v>12.55205234979179</v>
      </c>
    </row>
    <row r="7" spans="2:5" s="11" customFormat="1" ht="27.75" customHeight="1" x14ac:dyDescent="0.25">
      <c r="B7" s="247" t="s">
        <v>336</v>
      </c>
      <c r="C7" s="548" t="s">
        <v>320</v>
      </c>
      <c r="D7" s="548" t="s">
        <v>320</v>
      </c>
      <c r="E7" s="726" t="s">
        <v>320</v>
      </c>
    </row>
    <row r="8" spans="2:5" s="11" customFormat="1" ht="27.75" customHeight="1" x14ac:dyDescent="0.25">
      <c r="B8" s="250" t="s">
        <v>384</v>
      </c>
      <c r="C8" s="90">
        <v>9161</v>
      </c>
      <c r="D8" s="90">
        <v>1793</v>
      </c>
      <c r="E8" s="539">
        <f t="shared" si="0"/>
        <v>19.57209911581705</v>
      </c>
    </row>
    <row r="9" spans="2:5" s="11" customFormat="1" ht="27.75" customHeight="1" x14ac:dyDescent="0.25">
      <c r="B9" s="250" t="s">
        <v>82</v>
      </c>
      <c r="C9" s="90">
        <v>5483</v>
      </c>
      <c r="D9" s="90">
        <v>583</v>
      </c>
      <c r="E9" s="539">
        <f t="shared" si="0"/>
        <v>10.632865219770199</v>
      </c>
    </row>
    <row r="10" spans="2:5" s="11" customFormat="1" ht="27.75" customHeight="1" x14ac:dyDescent="0.25">
      <c r="B10" s="250" t="s">
        <v>74</v>
      </c>
      <c r="C10" s="90">
        <v>3464</v>
      </c>
      <c r="D10" s="90">
        <v>678</v>
      </c>
      <c r="E10" s="539">
        <f t="shared" si="0"/>
        <v>19.572748267898383</v>
      </c>
    </row>
    <row r="11" spans="2:5" s="11" customFormat="1" ht="27.75" customHeight="1" x14ac:dyDescent="0.25">
      <c r="B11" s="250" t="s">
        <v>81</v>
      </c>
      <c r="C11" s="90">
        <v>4246</v>
      </c>
      <c r="D11" s="90">
        <v>1094</v>
      </c>
      <c r="E11" s="539">
        <f t="shared" si="0"/>
        <v>25.765426283560998</v>
      </c>
    </row>
    <row r="12" spans="2:5" s="11" customFormat="1" ht="27.75" customHeight="1" x14ac:dyDescent="0.25">
      <c r="B12" s="253" t="s">
        <v>79</v>
      </c>
      <c r="C12" s="90">
        <v>1539</v>
      </c>
      <c r="D12" s="90">
        <v>456</v>
      </c>
      <c r="E12" s="539">
        <f t="shared" si="0"/>
        <v>29.629629629629626</v>
      </c>
    </row>
    <row r="13" spans="2:5" s="11" customFormat="1" ht="27.75" customHeight="1" x14ac:dyDescent="0.25">
      <c r="B13" s="253" t="s">
        <v>83</v>
      </c>
      <c r="C13" s="90">
        <v>4374</v>
      </c>
      <c r="D13" s="90">
        <v>678</v>
      </c>
      <c r="E13" s="539">
        <f t="shared" si="0"/>
        <v>15.500685871056241</v>
      </c>
    </row>
    <row r="14" spans="2:5" s="11" customFormat="1" ht="27.75" customHeight="1" x14ac:dyDescent="0.25">
      <c r="B14" s="253" t="s">
        <v>84</v>
      </c>
      <c r="C14" s="90">
        <v>4632</v>
      </c>
      <c r="D14" s="90">
        <v>755</v>
      </c>
      <c r="E14" s="539">
        <f t="shared" si="0"/>
        <v>16.299654576856646</v>
      </c>
    </row>
    <row r="15" spans="2:5" s="11" customFormat="1" ht="27.75" customHeight="1" x14ac:dyDescent="0.25">
      <c r="B15" s="253" t="s">
        <v>85</v>
      </c>
      <c r="C15" s="90">
        <v>2416</v>
      </c>
      <c r="D15" s="90">
        <v>474</v>
      </c>
      <c r="E15" s="539">
        <f t="shared" si="0"/>
        <v>19.619205298013245</v>
      </c>
    </row>
    <row r="16" spans="2:5" s="11" customFormat="1" ht="27.75" customHeight="1" x14ac:dyDescent="0.25">
      <c r="B16" s="253" t="s">
        <v>86</v>
      </c>
      <c r="C16" s="90">
        <v>3380</v>
      </c>
      <c r="D16" s="90">
        <v>1870</v>
      </c>
      <c r="E16" s="539">
        <f t="shared" si="0"/>
        <v>55.325443786982255</v>
      </c>
    </row>
    <row r="17" spans="2:14" s="11" customFormat="1" ht="27.75" customHeight="1" x14ac:dyDescent="0.25">
      <c r="B17" s="253" t="s">
        <v>87</v>
      </c>
      <c r="C17" s="90">
        <v>975</v>
      </c>
      <c r="D17" s="90">
        <v>106</v>
      </c>
      <c r="E17" s="539">
        <f t="shared" si="0"/>
        <v>10.871794871794872</v>
      </c>
    </row>
    <row r="18" spans="2:14" s="11" customFormat="1" ht="27.75" customHeight="1" thickBot="1" x14ac:dyDescent="0.3">
      <c r="B18" s="256" t="s">
        <v>88</v>
      </c>
      <c r="C18" s="90">
        <v>1829</v>
      </c>
      <c r="D18" s="90">
        <v>118</v>
      </c>
      <c r="E18" s="539">
        <f t="shared" si="0"/>
        <v>6.4516129032258061</v>
      </c>
    </row>
    <row r="19" spans="2:14" s="11" customFormat="1" ht="27.75" customHeight="1" thickTop="1" thickBot="1" x14ac:dyDescent="0.3">
      <c r="B19" s="265" t="s">
        <v>313</v>
      </c>
      <c r="C19" s="540">
        <f>SUM(C4:C18)</f>
        <v>52963</v>
      </c>
      <c r="D19" s="540">
        <f>SUM(D4:D18)</f>
        <v>9766</v>
      </c>
      <c r="E19" s="592">
        <f t="shared" si="0"/>
        <v>18.439287804693844</v>
      </c>
    </row>
    <row r="20" spans="2:14" s="11" customFormat="1" ht="27.75" customHeight="1" thickTop="1" x14ac:dyDescent="0.25">
      <c r="B20" s="520" t="s">
        <v>277</v>
      </c>
      <c r="C20" s="520"/>
      <c r="D20" s="51"/>
      <c r="E20" s="444"/>
      <c r="F20" s="440"/>
      <c r="G20" s="440"/>
      <c r="H20" s="440"/>
      <c r="I20" s="440"/>
      <c r="J20" s="440"/>
      <c r="K20" s="440"/>
      <c r="L20" s="440"/>
      <c r="M20" s="440"/>
      <c r="N20" s="440"/>
    </row>
    <row r="21" spans="2:14" s="440" customFormat="1" ht="27.75" customHeight="1" x14ac:dyDescent="0.25">
      <c r="B21" s="778" t="s">
        <v>423</v>
      </c>
      <c r="C21" s="778"/>
      <c r="D21" s="778"/>
      <c r="E21" s="778"/>
    </row>
    <row r="22" spans="2:14" s="11" customFormat="1" ht="21.75" customHeight="1" x14ac:dyDescent="0.25">
      <c r="B22" s="536"/>
      <c r="C22" s="536"/>
      <c r="D22" s="538"/>
      <c r="E22" s="441"/>
      <c r="F22" s="440"/>
      <c r="G22" s="440"/>
      <c r="H22" s="440"/>
      <c r="I22" s="440"/>
      <c r="J22" s="440"/>
      <c r="K22" s="440"/>
      <c r="L22" s="440"/>
      <c r="M22" s="440"/>
      <c r="N22" s="440"/>
    </row>
    <row r="23" spans="2:14" s="11" customFormat="1" ht="21.75" customHeight="1" x14ac:dyDescent="0.25">
      <c r="B23" s="536"/>
      <c r="C23" s="536"/>
      <c r="D23" s="538"/>
      <c r="E23" s="441"/>
      <c r="F23" s="440"/>
      <c r="G23" s="440"/>
      <c r="H23" s="440"/>
      <c r="I23" s="440"/>
      <c r="J23" s="440"/>
      <c r="K23" s="440"/>
      <c r="L23" s="440"/>
      <c r="M23" s="440"/>
      <c r="N23" s="440"/>
    </row>
    <row r="24" spans="2:14" s="11" customFormat="1" ht="21.75" customHeight="1" x14ac:dyDescent="0.25">
      <c r="B24" s="536"/>
      <c r="C24" s="536"/>
      <c r="D24" s="538"/>
      <c r="E24" s="441"/>
      <c r="F24" s="440"/>
      <c r="G24" s="440"/>
      <c r="H24" s="440"/>
      <c r="I24" s="440"/>
      <c r="J24" s="440"/>
      <c r="K24" s="440"/>
      <c r="L24" s="440"/>
      <c r="M24" s="440"/>
      <c r="N24" s="440"/>
    </row>
    <row r="25" spans="2:14" s="11" customFormat="1" ht="21.75" customHeight="1" x14ac:dyDescent="0.25">
      <c r="B25" s="536"/>
      <c r="C25" s="536"/>
      <c r="D25" s="538"/>
      <c r="E25" s="441"/>
      <c r="F25" s="440"/>
      <c r="G25" s="440"/>
      <c r="H25" s="440"/>
      <c r="I25" s="440"/>
      <c r="J25" s="440"/>
      <c r="K25" s="440"/>
      <c r="L25" s="440"/>
      <c r="M25" s="440"/>
      <c r="N25" s="440"/>
    </row>
    <row r="26" spans="2:14" s="11" customFormat="1" ht="21.75" customHeight="1" x14ac:dyDescent="0.25">
      <c r="B26" s="536"/>
      <c r="C26" s="536"/>
      <c r="D26" s="538"/>
      <c r="E26" s="441"/>
      <c r="F26" s="440"/>
      <c r="G26" s="440"/>
      <c r="H26" s="440"/>
      <c r="I26" s="440"/>
      <c r="J26" s="440"/>
      <c r="K26" s="440"/>
      <c r="L26" s="440"/>
      <c r="M26" s="440"/>
      <c r="N26" s="440"/>
    </row>
    <row r="27" spans="2:14" s="11" customFormat="1" ht="21.75" customHeight="1" x14ac:dyDescent="0.25">
      <c r="B27" s="536"/>
      <c r="C27" s="536"/>
      <c r="D27" s="538"/>
      <c r="E27" s="441"/>
      <c r="F27" s="440"/>
      <c r="G27" s="440"/>
      <c r="H27" s="440"/>
      <c r="I27" s="440"/>
      <c r="J27" s="440"/>
      <c r="K27" s="440"/>
      <c r="L27" s="440"/>
      <c r="M27" s="440"/>
      <c r="N27" s="440"/>
    </row>
    <row r="28" spans="2:14" s="11" customFormat="1" ht="21.75" customHeight="1" x14ac:dyDescent="0.25">
      <c r="B28" s="536"/>
      <c r="C28" s="536"/>
      <c r="D28" s="538"/>
      <c r="E28" s="441"/>
      <c r="F28" s="440"/>
      <c r="G28" s="440"/>
      <c r="H28" s="440"/>
      <c r="I28" s="440"/>
      <c r="J28" s="440"/>
      <c r="K28" s="440"/>
      <c r="L28" s="440"/>
      <c r="M28" s="440"/>
      <c r="N28" s="440"/>
    </row>
    <row r="29" spans="2:14" s="11" customFormat="1" ht="21.75" customHeight="1" x14ac:dyDescent="0.25">
      <c r="B29" s="536"/>
      <c r="C29" s="536"/>
      <c r="D29" s="538"/>
      <c r="E29" s="441"/>
      <c r="F29" s="440"/>
      <c r="G29" s="440"/>
      <c r="H29" s="440"/>
      <c r="I29" s="440"/>
      <c r="J29" s="440"/>
      <c r="K29" s="440"/>
      <c r="L29" s="440"/>
      <c r="M29" s="440"/>
      <c r="N29" s="440"/>
    </row>
    <row r="30" spans="2:14" s="11" customFormat="1" ht="21.75" customHeight="1" x14ac:dyDescent="0.25">
      <c r="B30" s="537" t="s">
        <v>230</v>
      </c>
      <c r="C30" s="537"/>
      <c r="D30" s="537"/>
      <c r="E30" s="531">
        <v>37</v>
      </c>
      <c r="F30" s="170"/>
      <c r="G30" s="440"/>
      <c r="H30" s="442"/>
      <c r="I30" s="443"/>
      <c r="J30" s="122"/>
      <c r="K30" s="122"/>
      <c r="L30" s="122">
        <v>61</v>
      </c>
    </row>
  </sheetData>
  <mergeCells count="3">
    <mergeCell ref="B1:E1"/>
    <mergeCell ref="B2:E2"/>
    <mergeCell ref="B21:E21"/>
  </mergeCells>
  <printOptions horizontalCentered="1"/>
  <pageMargins left="0.7" right="0.7" top="0.75" bottom="0.2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O22"/>
  <sheetViews>
    <sheetView rightToLeft="1" view="pageBreakPreview" zoomScaleSheetLayoutView="100" workbookViewId="0">
      <selection activeCell="B1" sqref="B1:L1"/>
    </sheetView>
  </sheetViews>
  <sheetFormatPr defaultRowHeight="15" x14ac:dyDescent="0.25"/>
  <cols>
    <col min="1" max="1" width="0.7109375" customWidth="1"/>
    <col min="2" max="2" width="12.5703125" customWidth="1"/>
    <col min="3" max="4" width="11.140625" customWidth="1"/>
    <col min="5" max="5" width="12.42578125" customWidth="1"/>
    <col min="6" max="6" width="11.140625" customWidth="1"/>
    <col min="7" max="7" width="12.7109375" customWidth="1"/>
    <col min="8" max="8" width="11.140625" customWidth="1"/>
    <col min="9" max="9" width="0.5703125" customWidth="1"/>
    <col min="10" max="10" width="18.85546875" customWidth="1"/>
    <col min="11" max="11" width="17.42578125" customWidth="1"/>
    <col min="12" max="12" width="17" customWidth="1"/>
  </cols>
  <sheetData>
    <row r="1" spans="2:15" ht="21" customHeight="1" x14ac:dyDescent="0.25">
      <c r="B1" s="857" t="s">
        <v>449</v>
      </c>
      <c r="C1" s="857"/>
      <c r="D1" s="857"/>
      <c r="E1" s="857"/>
      <c r="F1" s="857"/>
      <c r="G1" s="857"/>
      <c r="H1" s="857"/>
      <c r="I1" s="857"/>
      <c r="J1" s="857"/>
      <c r="K1" s="857"/>
      <c r="L1" s="857"/>
    </row>
    <row r="2" spans="2:15" ht="26.25" customHeight="1" thickBot="1" x14ac:dyDescent="0.3">
      <c r="B2" s="176" t="s">
        <v>410</v>
      </c>
      <c r="C2" s="32"/>
      <c r="D2" s="32"/>
      <c r="E2" s="32"/>
      <c r="F2" s="32"/>
      <c r="G2" s="32"/>
      <c r="H2" s="33"/>
      <c r="I2" s="35"/>
      <c r="L2" s="35" t="s">
        <v>93</v>
      </c>
    </row>
    <row r="3" spans="2:15" ht="30.75" customHeight="1" thickTop="1" x14ac:dyDescent="0.25">
      <c r="B3" s="859" t="s">
        <v>94</v>
      </c>
      <c r="C3" s="792" t="s">
        <v>109</v>
      </c>
      <c r="D3" s="792"/>
      <c r="E3" s="792"/>
      <c r="F3" s="792"/>
      <c r="G3" s="792"/>
      <c r="H3" s="792"/>
      <c r="I3" s="677"/>
      <c r="J3" s="858" t="s">
        <v>110</v>
      </c>
      <c r="K3" s="858"/>
      <c r="L3" s="858"/>
    </row>
    <row r="4" spans="2:15" ht="21" customHeight="1" x14ac:dyDescent="0.25">
      <c r="B4" s="860"/>
      <c r="C4" s="862" t="s">
        <v>95</v>
      </c>
      <c r="D4" s="862"/>
      <c r="E4" s="862" t="s">
        <v>96</v>
      </c>
      <c r="F4" s="862"/>
      <c r="G4" s="862" t="s">
        <v>97</v>
      </c>
      <c r="H4" s="862"/>
      <c r="I4" s="419"/>
      <c r="J4" s="679" t="s">
        <v>95</v>
      </c>
      <c r="K4" s="679" t="s">
        <v>108</v>
      </c>
      <c r="L4" s="679" t="s">
        <v>97</v>
      </c>
      <c r="M4" s="36"/>
      <c r="N4" s="36"/>
      <c r="O4" s="36"/>
    </row>
    <row r="5" spans="2:15" ht="20.25" customHeight="1" x14ac:dyDescent="0.25">
      <c r="B5" s="860"/>
      <c r="C5" s="863" t="s">
        <v>375</v>
      </c>
      <c r="D5" s="863"/>
      <c r="E5" s="864" t="s">
        <v>376</v>
      </c>
      <c r="F5" s="864"/>
      <c r="G5" s="864" t="s">
        <v>203</v>
      </c>
      <c r="H5" s="864"/>
      <c r="I5" s="420"/>
      <c r="J5" s="855" t="s">
        <v>377</v>
      </c>
      <c r="K5" s="855" t="s">
        <v>376</v>
      </c>
      <c r="L5" s="855" t="s">
        <v>203</v>
      </c>
      <c r="N5" s="94" t="s">
        <v>100</v>
      </c>
    </row>
    <row r="6" spans="2:15" ht="21" customHeight="1" x14ac:dyDescent="0.25">
      <c r="B6" s="861"/>
      <c r="C6" s="421" t="s">
        <v>98</v>
      </c>
      <c r="D6" s="421" t="s">
        <v>99</v>
      </c>
      <c r="E6" s="421" t="s">
        <v>98</v>
      </c>
      <c r="F6" s="421" t="s">
        <v>99</v>
      </c>
      <c r="G6" s="421" t="s">
        <v>98</v>
      </c>
      <c r="H6" s="421" t="s">
        <v>99</v>
      </c>
      <c r="I6" s="422"/>
      <c r="J6" s="856"/>
      <c r="K6" s="856"/>
      <c r="L6" s="856"/>
      <c r="N6" s="95" t="s">
        <v>101</v>
      </c>
    </row>
    <row r="7" spans="2:15" ht="29.25" customHeight="1" x14ac:dyDescent="0.25">
      <c r="B7" s="94" t="s">
        <v>100</v>
      </c>
      <c r="C7" s="91">
        <v>100</v>
      </c>
      <c r="D7" s="91">
        <v>8000</v>
      </c>
      <c r="E7" s="91">
        <v>130</v>
      </c>
      <c r="F7" s="91">
        <v>9200</v>
      </c>
      <c r="G7" s="91">
        <v>20</v>
      </c>
      <c r="H7" s="91">
        <v>16000</v>
      </c>
      <c r="I7" s="91"/>
      <c r="J7" s="91">
        <v>1181</v>
      </c>
      <c r="K7" s="91">
        <v>1790</v>
      </c>
      <c r="L7" s="91">
        <v>619</v>
      </c>
      <c r="N7" s="95" t="s">
        <v>102</v>
      </c>
    </row>
    <row r="8" spans="2:15" ht="29.25" customHeight="1" x14ac:dyDescent="0.25">
      <c r="B8" s="95" t="s">
        <v>101</v>
      </c>
      <c r="C8" s="92">
        <v>1210</v>
      </c>
      <c r="D8" s="92">
        <v>28000</v>
      </c>
      <c r="E8" s="92">
        <v>4900</v>
      </c>
      <c r="F8" s="92">
        <v>92000</v>
      </c>
      <c r="G8" s="92">
        <v>1200</v>
      </c>
      <c r="H8" s="92">
        <v>160000</v>
      </c>
      <c r="I8" s="92"/>
      <c r="J8" s="92">
        <v>11059</v>
      </c>
      <c r="K8" s="92">
        <v>42616</v>
      </c>
      <c r="L8" s="92">
        <v>38468</v>
      </c>
      <c r="N8" s="95" t="s">
        <v>103</v>
      </c>
    </row>
    <row r="9" spans="2:15" ht="29.25" customHeight="1" x14ac:dyDescent="0.25">
      <c r="B9" s="95" t="s">
        <v>457</v>
      </c>
      <c r="C9" s="92">
        <v>420</v>
      </c>
      <c r="D9" s="92">
        <v>29800</v>
      </c>
      <c r="E9" s="92">
        <v>330</v>
      </c>
      <c r="F9" s="92">
        <v>33000</v>
      </c>
      <c r="G9" s="92">
        <v>230</v>
      </c>
      <c r="H9" s="92">
        <v>7800</v>
      </c>
      <c r="I9" s="92"/>
      <c r="J9" s="92">
        <v>6211</v>
      </c>
      <c r="K9" s="92">
        <v>9252</v>
      </c>
      <c r="L9" s="92">
        <v>4863</v>
      </c>
      <c r="N9" s="95"/>
    </row>
    <row r="10" spans="2:15" ht="29.25" customHeight="1" x14ac:dyDescent="0.25">
      <c r="B10" s="95" t="s">
        <v>102</v>
      </c>
      <c r="C10" s="92">
        <v>334</v>
      </c>
      <c r="D10" s="92">
        <v>4555</v>
      </c>
      <c r="E10" s="92">
        <v>490</v>
      </c>
      <c r="F10" s="92">
        <v>35000</v>
      </c>
      <c r="G10" s="92">
        <v>490</v>
      </c>
      <c r="H10" s="92">
        <v>24000</v>
      </c>
      <c r="I10" s="92"/>
      <c r="J10" s="92">
        <v>2405</v>
      </c>
      <c r="K10" s="92">
        <v>11883</v>
      </c>
      <c r="L10" s="92">
        <v>11071</v>
      </c>
      <c r="N10" s="95" t="s">
        <v>104</v>
      </c>
    </row>
    <row r="11" spans="2:15" ht="29.25" customHeight="1" x14ac:dyDescent="0.25">
      <c r="B11" s="95" t="s">
        <v>234</v>
      </c>
      <c r="C11" s="92">
        <v>1280</v>
      </c>
      <c r="D11" s="92">
        <v>84000</v>
      </c>
      <c r="E11" s="92">
        <v>2200</v>
      </c>
      <c r="F11" s="92">
        <v>170000</v>
      </c>
      <c r="G11" s="92">
        <v>2200</v>
      </c>
      <c r="H11" s="92">
        <v>170000</v>
      </c>
      <c r="I11" s="92"/>
      <c r="J11" s="92">
        <v>7676</v>
      </c>
      <c r="K11" s="92">
        <v>18503</v>
      </c>
      <c r="L11" s="92">
        <v>16029</v>
      </c>
      <c r="N11" s="95" t="s">
        <v>84</v>
      </c>
    </row>
    <row r="12" spans="2:15" ht="29.25" customHeight="1" x14ac:dyDescent="0.25">
      <c r="B12" s="95" t="s">
        <v>104</v>
      </c>
      <c r="C12" s="92">
        <v>1500</v>
      </c>
      <c r="D12" s="92">
        <v>15000</v>
      </c>
      <c r="E12" s="92">
        <v>1700</v>
      </c>
      <c r="F12" s="92">
        <v>170000</v>
      </c>
      <c r="G12" s="92">
        <v>1700</v>
      </c>
      <c r="H12" s="92">
        <v>130000</v>
      </c>
      <c r="I12" s="92"/>
      <c r="J12" s="92">
        <v>7917</v>
      </c>
      <c r="K12" s="92">
        <v>37336</v>
      </c>
      <c r="L12" s="92">
        <v>25813</v>
      </c>
      <c r="N12" s="95" t="s">
        <v>105</v>
      </c>
    </row>
    <row r="13" spans="2:15" ht="29.25" customHeight="1" x14ac:dyDescent="0.25">
      <c r="B13" s="95" t="s">
        <v>103</v>
      </c>
      <c r="C13" s="92">
        <v>2500</v>
      </c>
      <c r="D13" s="92">
        <v>27000</v>
      </c>
      <c r="E13" s="92">
        <v>3300</v>
      </c>
      <c r="F13" s="92">
        <v>79000</v>
      </c>
      <c r="G13" s="92">
        <v>3300</v>
      </c>
      <c r="H13" s="92">
        <v>79000</v>
      </c>
      <c r="I13" s="92"/>
      <c r="J13" s="92">
        <v>5122</v>
      </c>
      <c r="K13" s="92">
        <v>16016</v>
      </c>
      <c r="L13" s="92">
        <v>46762</v>
      </c>
      <c r="N13" s="96" t="s">
        <v>106</v>
      </c>
    </row>
    <row r="14" spans="2:15" ht="29.25" customHeight="1" thickBot="1" x14ac:dyDescent="0.3">
      <c r="B14" s="95" t="s">
        <v>209</v>
      </c>
      <c r="C14" s="92">
        <v>285</v>
      </c>
      <c r="D14" s="92">
        <v>18300</v>
      </c>
      <c r="E14" s="92">
        <v>1300</v>
      </c>
      <c r="F14" s="92">
        <v>54000</v>
      </c>
      <c r="G14" s="92">
        <v>640</v>
      </c>
      <c r="H14" s="92">
        <v>26000</v>
      </c>
      <c r="I14" s="92"/>
      <c r="J14" s="92">
        <v>7395</v>
      </c>
      <c r="K14" s="92">
        <v>12422</v>
      </c>
      <c r="L14" s="92">
        <v>68050</v>
      </c>
      <c r="N14" s="97" t="s">
        <v>107</v>
      </c>
    </row>
    <row r="15" spans="2:15" ht="29.25" customHeight="1" thickTop="1" x14ac:dyDescent="0.25">
      <c r="B15" s="95" t="s">
        <v>84</v>
      </c>
      <c r="C15" s="92">
        <v>2725</v>
      </c>
      <c r="D15" s="92">
        <v>11500</v>
      </c>
      <c r="E15" s="92">
        <v>14000</v>
      </c>
      <c r="F15" s="92">
        <v>330000</v>
      </c>
      <c r="G15" s="92">
        <v>11000</v>
      </c>
      <c r="H15" s="92">
        <v>230000</v>
      </c>
      <c r="I15" s="92"/>
      <c r="J15" s="92">
        <v>22921</v>
      </c>
      <c r="K15" s="92">
        <v>63265</v>
      </c>
      <c r="L15" s="92">
        <v>54286</v>
      </c>
    </row>
    <row r="16" spans="2:15" ht="29.25" customHeight="1" x14ac:dyDescent="0.25">
      <c r="B16" s="95" t="s">
        <v>105</v>
      </c>
      <c r="C16" s="92">
        <v>3315</v>
      </c>
      <c r="D16" s="92">
        <v>22000</v>
      </c>
      <c r="E16" s="92">
        <v>33000</v>
      </c>
      <c r="F16" s="92">
        <v>540000</v>
      </c>
      <c r="G16" s="92">
        <v>33000</v>
      </c>
      <c r="H16" s="92">
        <v>540000</v>
      </c>
      <c r="I16" s="92"/>
      <c r="J16" s="92">
        <v>19661</v>
      </c>
      <c r="K16" s="92">
        <v>105982</v>
      </c>
      <c r="L16" s="92">
        <v>66698</v>
      </c>
    </row>
    <row r="17" spans="2:14" ht="29.25" customHeight="1" x14ac:dyDescent="0.25">
      <c r="B17" s="96" t="s">
        <v>106</v>
      </c>
      <c r="C17" s="152">
        <v>3100</v>
      </c>
      <c r="D17" s="152">
        <v>46250</v>
      </c>
      <c r="E17" s="152">
        <v>7800</v>
      </c>
      <c r="F17" s="152">
        <v>350000</v>
      </c>
      <c r="G17" s="152">
        <v>4900</v>
      </c>
      <c r="H17" s="152">
        <v>240000</v>
      </c>
      <c r="I17" s="152"/>
      <c r="J17" s="152">
        <v>3426</v>
      </c>
      <c r="K17" s="152">
        <v>60592</v>
      </c>
      <c r="L17" s="152">
        <v>76954</v>
      </c>
    </row>
    <row r="18" spans="2:14" ht="15" customHeight="1" thickBot="1" x14ac:dyDescent="0.3">
      <c r="B18" s="97" t="s">
        <v>107</v>
      </c>
      <c r="C18" s="93">
        <v>420</v>
      </c>
      <c r="D18" s="93">
        <v>29800</v>
      </c>
      <c r="E18" s="93">
        <v>13000</v>
      </c>
      <c r="F18" s="93">
        <v>240000</v>
      </c>
      <c r="G18" s="93">
        <v>3300</v>
      </c>
      <c r="H18" s="93">
        <v>240000</v>
      </c>
      <c r="I18" s="93"/>
      <c r="J18" s="93">
        <v>34250</v>
      </c>
      <c r="K18" s="93">
        <v>83858</v>
      </c>
      <c r="L18" s="93">
        <v>95602</v>
      </c>
    </row>
    <row r="19" spans="2:14" ht="10.5" customHeight="1" thickTop="1" x14ac:dyDescent="0.25">
      <c r="B19" s="34"/>
      <c r="C19" s="34"/>
      <c r="D19" s="34"/>
      <c r="E19" s="34"/>
      <c r="F19" s="34"/>
      <c r="G19" s="34"/>
      <c r="H19" s="34"/>
      <c r="I19" s="34"/>
    </row>
    <row r="20" spans="2:14" ht="32.25" customHeight="1" x14ac:dyDescent="0.25">
      <c r="B20" s="854" t="s">
        <v>229</v>
      </c>
      <c r="C20" s="854"/>
      <c r="D20" s="854"/>
      <c r="E20" s="854"/>
      <c r="F20" s="854"/>
      <c r="G20" s="854"/>
      <c r="H20" s="854"/>
      <c r="I20" s="678"/>
    </row>
    <row r="21" spans="2:14" ht="21" customHeight="1" x14ac:dyDescent="0.25"/>
    <row r="22" spans="2:14" x14ac:dyDescent="0.25">
      <c r="B22" s="674" t="s">
        <v>230</v>
      </c>
      <c r="C22" s="674"/>
      <c r="D22" s="43"/>
      <c r="E22" s="674"/>
      <c r="F22" s="331"/>
      <c r="G22" s="331"/>
      <c r="H22" s="331"/>
      <c r="I22" s="331"/>
      <c r="J22" s="331"/>
      <c r="K22" s="331"/>
      <c r="L22" s="675">
        <v>38</v>
      </c>
      <c r="M22" s="14"/>
      <c r="N22" s="14"/>
    </row>
  </sheetData>
  <mergeCells count="14">
    <mergeCell ref="B20:H20"/>
    <mergeCell ref="J5:J6"/>
    <mergeCell ref="K5:K6"/>
    <mergeCell ref="B1:L1"/>
    <mergeCell ref="J3:L3"/>
    <mergeCell ref="C3:H3"/>
    <mergeCell ref="L5:L6"/>
    <mergeCell ref="B3:B6"/>
    <mergeCell ref="C4:D4"/>
    <mergeCell ref="E4:F4"/>
    <mergeCell ref="G4:H4"/>
    <mergeCell ref="C5:D5"/>
    <mergeCell ref="E5:F5"/>
    <mergeCell ref="G5:H5"/>
  </mergeCells>
  <printOptions horizontalCentered="1"/>
  <pageMargins left="0.7" right="0.7" top="0.5" bottom="0.5" header="0.3" footer="0.3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S53"/>
  <sheetViews>
    <sheetView rightToLeft="1" view="pageBreakPreview" topLeftCell="A16" zoomScaleSheetLayoutView="100" workbookViewId="0">
      <selection activeCell="B50" sqref="B50:K50"/>
    </sheetView>
  </sheetViews>
  <sheetFormatPr defaultRowHeight="15" x14ac:dyDescent="0.25"/>
  <cols>
    <col min="1" max="1" width="1.140625" customWidth="1"/>
    <col min="2" max="2" width="14.7109375" customWidth="1"/>
    <col min="3" max="3" width="23.28515625" customWidth="1"/>
    <col min="4" max="4" width="11.7109375" customWidth="1"/>
    <col min="5" max="6" width="11.7109375" style="14" customWidth="1"/>
    <col min="7" max="7" width="11.7109375" style="42" customWidth="1"/>
    <col min="8" max="8" width="1" style="14" customWidth="1"/>
    <col min="9" max="11" width="11.7109375" customWidth="1"/>
  </cols>
  <sheetData>
    <row r="1" spans="2:11" ht="30" customHeight="1" x14ac:dyDescent="0.25">
      <c r="B1" s="867" t="s">
        <v>450</v>
      </c>
      <c r="C1" s="867"/>
      <c r="D1" s="867"/>
      <c r="E1" s="867"/>
      <c r="F1" s="867"/>
      <c r="G1" s="867"/>
      <c r="H1" s="867"/>
      <c r="I1" s="867"/>
      <c r="J1" s="867"/>
      <c r="K1" s="867"/>
    </row>
    <row r="2" spans="2:11" s="166" customFormat="1" ht="19.5" customHeight="1" thickBot="1" x14ac:dyDescent="0.3">
      <c r="B2" s="868" t="s">
        <v>411</v>
      </c>
      <c r="C2" s="868"/>
      <c r="D2" s="868"/>
      <c r="E2" s="868"/>
      <c r="F2" s="868"/>
      <c r="G2" s="868"/>
      <c r="H2" s="868"/>
      <c r="I2" s="868"/>
      <c r="J2" s="868"/>
      <c r="K2" s="868"/>
    </row>
    <row r="3" spans="2:11" ht="27" customHeight="1" thickTop="1" x14ac:dyDescent="0.25">
      <c r="B3" s="788" t="s">
        <v>111</v>
      </c>
      <c r="C3" s="788"/>
      <c r="D3" s="793" t="s">
        <v>112</v>
      </c>
      <c r="E3" s="792" t="s">
        <v>113</v>
      </c>
      <c r="F3" s="792"/>
      <c r="G3" s="792"/>
      <c r="H3" s="676"/>
      <c r="I3" s="792" t="s">
        <v>114</v>
      </c>
      <c r="J3" s="792"/>
      <c r="K3" s="792"/>
    </row>
    <row r="4" spans="2:11" ht="27" customHeight="1" x14ac:dyDescent="0.25">
      <c r="B4" s="795"/>
      <c r="C4" s="795"/>
      <c r="D4" s="869"/>
      <c r="E4" s="194" t="s">
        <v>98</v>
      </c>
      <c r="F4" s="194" t="s">
        <v>99</v>
      </c>
      <c r="G4" s="194" t="s">
        <v>115</v>
      </c>
      <c r="H4" s="188"/>
      <c r="I4" s="194" t="s">
        <v>98</v>
      </c>
      <c r="J4" s="194" t="s">
        <v>99</v>
      </c>
      <c r="K4" s="194" t="s">
        <v>115</v>
      </c>
    </row>
    <row r="5" spans="2:11" ht="21" customHeight="1" x14ac:dyDescent="0.25">
      <c r="B5" s="98" t="s">
        <v>116</v>
      </c>
      <c r="C5" s="133" t="s">
        <v>117</v>
      </c>
      <c r="D5" s="193"/>
      <c r="E5" s="158" t="s">
        <v>351</v>
      </c>
      <c r="F5" s="158" t="s">
        <v>351</v>
      </c>
      <c r="G5" s="158" t="s">
        <v>351</v>
      </c>
      <c r="H5" s="158"/>
      <c r="I5" s="158" t="s">
        <v>351</v>
      </c>
      <c r="J5" s="158" t="s">
        <v>351</v>
      </c>
      <c r="K5" s="158" t="s">
        <v>351</v>
      </c>
    </row>
    <row r="6" spans="2:11" ht="21" customHeight="1" x14ac:dyDescent="0.25">
      <c r="B6" s="99" t="s">
        <v>118</v>
      </c>
      <c r="C6" s="134" t="s">
        <v>119</v>
      </c>
      <c r="D6" s="135" t="s">
        <v>120</v>
      </c>
      <c r="E6" s="159">
        <v>9</v>
      </c>
      <c r="F6" s="159">
        <v>38</v>
      </c>
      <c r="G6" s="159">
        <v>23</v>
      </c>
      <c r="H6" s="159"/>
      <c r="I6" s="159">
        <v>10</v>
      </c>
      <c r="J6" s="159">
        <v>37</v>
      </c>
      <c r="K6" s="159">
        <v>23</v>
      </c>
    </row>
    <row r="7" spans="2:11" ht="21" customHeight="1" x14ac:dyDescent="0.25">
      <c r="B7" s="99" t="s">
        <v>121</v>
      </c>
      <c r="C7" s="134" t="s">
        <v>210</v>
      </c>
      <c r="D7" s="135" t="s">
        <v>211</v>
      </c>
      <c r="E7" s="159">
        <v>8</v>
      </c>
      <c r="F7" s="159">
        <v>1400</v>
      </c>
      <c r="G7" s="159">
        <v>69</v>
      </c>
      <c r="H7" s="159"/>
      <c r="I7" s="172">
        <v>0.2</v>
      </c>
      <c r="J7" s="171">
        <v>13</v>
      </c>
      <c r="K7" s="171">
        <v>2.1</v>
      </c>
    </row>
    <row r="8" spans="2:11" ht="21" customHeight="1" x14ac:dyDescent="0.25">
      <c r="B8" s="99" t="s">
        <v>226</v>
      </c>
      <c r="C8" s="134" t="s">
        <v>123</v>
      </c>
      <c r="D8" s="192"/>
      <c r="E8" s="172">
        <v>7.4</v>
      </c>
      <c r="F8" s="172">
        <v>8.41</v>
      </c>
      <c r="G8" s="172">
        <v>8</v>
      </c>
      <c r="H8" s="172"/>
      <c r="I8" s="172">
        <v>6.9</v>
      </c>
      <c r="J8" s="172">
        <v>8.1999999999999993</v>
      </c>
      <c r="K8" s="172">
        <v>7.56</v>
      </c>
    </row>
    <row r="9" spans="2:11" ht="21" customHeight="1" x14ac:dyDescent="0.25">
      <c r="B9" s="99" t="s">
        <v>124</v>
      </c>
      <c r="C9" s="134" t="s">
        <v>204</v>
      </c>
      <c r="D9" s="135" t="s">
        <v>122</v>
      </c>
      <c r="E9" s="159">
        <v>96</v>
      </c>
      <c r="F9" s="159">
        <v>250</v>
      </c>
      <c r="G9" s="159">
        <v>155</v>
      </c>
      <c r="H9" s="159"/>
      <c r="I9" s="159">
        <v>83</v>
      </c>
      <c r="J9" s="159">
        <v>237</v>
      </c>
      <c r="K9" s="159">
        <v>146</v>
      </c>
    </row>
    <row r="10" spans="2:11" ht="21" customHeight="1" x14ac:dyDescent="0.25">
      <c r="B10" s="99" t="s">
        <v>125</v>
      </c>
      <c r="C10" s="134" t="s">
        <v>205</v>
      </c>
      <c r="D10" s="135" t="s">
        <v>122</v>
      </c>
      <c r="E10" s="159">
        <v>206</v>
      </c>
      <c r="F10" s="159">
        <v>453</v>
      </c>
      <c r="G10" s="159">
        <v>319</v>
      </c>
      <c r="H10" s="159"/>
      <c r="I10" s="159">
        <v>206</v>
      </c>
      <c r="J10" s="159">
        <v>457</v>
      </c>
      <c r="K10" s="159">
        <v>320</v>
      </c>
    </row>
    <row r="11" spans="2:11" ht="21" customHeight="1" x14ac:dyDescent="0.25">
      <c r="B11" s="99" t="s">
        <v>126</v>
      </c>
      <c r="C11" s="134" t="s">
        <v>127</v>
      </c>
      <c r="D11" s="135" t="s">
        <v>122</v>
      </c>
      <c r="E11" s="159">
        <v>44</v>
      </c>
      <c r="F11" s="159">
        <v>164</v>
      </c>
      <c r="G11" s="159">
        <v>81</v>
      </c>
      <c r="H11" s="159"/>
      <c r="I11" s="159">
        <v>34</v>
      </c>
      <c r="J11" s="159">
        <v>151</v>
      </c>
      <c r="K11" s="159">
        <v>82</v>
      </c>
    </row>
    <row r="12" spans="2:11" ht="21" customHeight="1" x14ac:dyDescent="0.25">
      <c r="B12" s="99" t="s">
        <v>128</v>
      </c>
      <c r="C12" s="134" t="s">
        <v>129</v>
      </c>
      <c r="D12" s="135" t="s">
        <v>122</v>
      </c>
      <c r="E12" s="159">
        <v>12</v>
      </c>
      <c r="F12" s="159">
        <v>50</v>
      </c>
      <c r="G12" s="159">
        <v>28</v>
      </c>
      <c r="H12" s="159"/>
      <c r="I12" s="159">
        <v>13</v>
      </c>
      <c r="J12" s="159">
        <v>50</v>
      </c>
      <c r="K12" s="159">
        <v>28</v>
      </c>
    </row>
    <row r="13" spans="2:11" ht="21" customHeight="1" x14ac:dyDescent="0.25">
      <c r="B13" s="99" t="s">
        <v>130</v>
      </c>
      <c r="C13" s="134" t="s">
        <v>131</v>
      </c>
      <c r="D13" s="135" t="s">
        <v>132</v>
      </c>
      <c r="E13" s="159">
        <v>21</v>
      </c>
      <c r="F13" s="159">
        <v>116</v>
      </c>
      <c r="G13" s="159">
        <v>66</v>
      </c>
      <c r="H13" s="159"/>
      <c r="I13" s="159">
        <v>22</v>
      </c>
      <c r="J13" s="159">
        <v>120</v>
      </c>
      <c r="K13" s="159">
        <v>67</v>
      </c>
    </row>
    <row r="14" spans="2:11" ht="21" customHeight="1" x14ac:dyDescent="0.25">
      <c r="B14" s="99" t="s">
        <v>133</v>
      </c>
      <c r="C14" s="134" t="s">
        <v>134</v>
      </c>
      <c r="D14" s="135" t="s">
        <v>135</v>
      </c>
      <c r="E14" s="159">
        <v>500</v>
      </c>
      <c r="F14" s="159">
        <v>1224</v>
      </c>
      <c r="G14" s="159">
        <v>856</v>
      </c>
      <c r="H14" s="159"/>
      <c r="I14" s="159">
        <v>510</v>
      </c>
      <c r="J14" s="159">
        <v>1265</v>
      </c>
      <c r="K14" s="159">
        <v>865</v>
      </c>
    </row>
    <row r="15" spans="2:11" ht="21" customHeight="1" x14ac:dyDescent="0.25">
      <c r="B15" s="99" t="s">
        <v>136</v>
      </c>
      <c r="C15" s="134" t="s">
        <v>137</v>
      </c>
      <c r="D15" s="135" t="s">
        <v>138</v>
      </c>
      <c r="E15" s="547" t="s">
        <v>389</v>
      </c>
      <c r="F15" s="172">
        <v>0.03</v>
      </c>
      <c r="G15" s="172">
        <v>0.01</v>
      </c>
      <c r="H15" s="159"/>
      <c r="I15" s="547" t="s">
        <v>389</v>
      </c>
      <c r="J15" s="172">
        <v>0.2</v>
      </c>
      <c r="K15" s="172">
        <v>0.08</v>
      </c>
    </row>
    <row r="16" spans="2:11" ht="21" customHeight="1" x14ac:dyDescent="0.25">
      <c r="B16" s="95" t="s">
        <v>139</v>
      </c>
      <c r="C16" s="136" t="s">
        <v>140</v>
      </c>
      <c r="D16" s="135" t="s">
        <v>138</v>
      </c>
      <c r="E16" s="159">
        <v>305</v>
      </c>
      <c r="F16" s="159">
        <v>846</v>
      </c>
      <c r="G16" s="159">
        <v>563</v>
      </c>
      <c r="H16" s="159"/>
      <c r="I16" s="159">
        <v>310</v>
      </c>
      <c r="J16" s="159">
        <v>864</v>
      </c>
      <c r="K16" s="159">
        <v>568</v>
      </c>
    </row>
    <row r="17" spans="2:19" ht="21" customHeight="1" x14ac:dyDescent="0.25">
      <c r="B17" s="99" t="s">
        <v>416</v>
      </c>
      <c r="C17" s="134" t="s">
        <v>141</v>
      </c>
      <c r="D17" s="135" t="s">
        <v>138</v>
      </c>
      <c r="E17" s="159">
        <v>11</v>
      </c>
      <c r="F17" s="159">
        <v>1894</v>
      </c>
      <c r="G17" s="159">
        <v>103</v>
      </c>
      <c r="H17" s="160"/>
      <c r="I17" s="191"/>
      <c r="J17" s="191"/>
      <c r="K17" s="191"/>
    </row>
    <row r="18" spans="2:19" ht="21" customHeight="1" x14ac:dyDescent="0.25">
      <c r="B18" s="99" t="s">
        <v>201</v>
      </c>
      <c r="C18" s="134" t="s">
        <v>142</v>
      </c>
      <c r="D18" s="135" t="s">
        <v>138</v>
      </c>
      <c r="E18" s="172">
        <v>0.02</v>
      </c>
      <c r="F18" s="172">
        <v>11.4</v>
      </c>
      <c r="G18" s="172">
        <v>1.63</v>
      </c>
      <c r="H18" s="159"/>
      <c r="I18" s="547" t="s">
        <v>426</v>
      </c>
      <c r="J18" s="172">
        <v>0.56000000000000005</v>
      </c>
      <c r="K18" s="172">
        <v>0.08</v>
      </c>
    </row>
    <row r="19" spans="2:19" ht="21" customHeight="1" x14ac:dyDescent="0.25">
      <c r="B19" s="99" t="s">
        <v>143</v>
      </c>
      <c r="C19" s="134" t="s">
        <v>206</v>
      </c>
      <c r="D19" s="135" t="s">
        <v>138</v>
      </c>
      <c r="E19" s="159">
        <v>60</v>
      </c>
      <c r="F19" s="159">
        <v>360</v>
      </c>
      <c r="G19" s="159">
        <v>189</v>
      </c>
      <c r="H19" s="159"/>
      <c r="I19" s="159">
        <v>60</v>
      </c>
      <c r="J19" s="159">
        <v>370</v>
      </c>
      <c r="K19" s="159">
        <v>191</v>
      </c>
    </row>
    <row r="20" spans="2:19" ht="21" customHeight="1" x14ac:dyDescent="0.25">
      <c r="B20" s="99" t="s">
        <v>144</v>
      </c>
      <c r="C20" s="134" t="s">
        <v>145</v>
      </c>
      <c r="D20" s="135" t="s">
        <v>138</v>
      </c>
      <c r="E20" s="172">
        <v>0.01</v>
      </c>
      <c r="F20" s="172">
        <v>0.26</v>
      </c>
      <c r="G20" s="172">
        <v>0.12</v>
      </c>
      <c r="H20" s="172"/>
      <c r="I20" s="172">
        <v>0.01</v>
      </c>
      <c r="J20" s="172">
        <v>0.23</v>
      </c>
      <c r="K20" s="172">
        <v>0.08</v>
      </c>
    </row>
    <row r="21" spans="2:19" ht="21" customHeight="1" thickBot="1" x14ac:dyDescent="0.3">
      <c r="B21" s="100" t="s">
        <v>146</v>
      </c>
      <c r="C21" s="137" t="s">
        <v>212</v>
      </c>
      <c r="D21" s="138" t="s">
        <v>138</v>
      </c>
      <c r="E21" s="528" t="s">
        <v>352</v>
      </c>
      <c r="F21" s="173">
        <v>1.17</v>
      </c>
      <c r="G21" s="173">
        <v>0.22</v>
      </c>
      <c r="H21" s="161"/>
      <c r="I21" s="528" t="s">
        <v>389</v>
      </c>
      <c r="J21" s="173">
        <v>0.18</v>
      </c>
      <c r="K21" s="173">
        <v>0.02</v>
      </c>
    </row>
    <row r="22" spans="2:19" ht="18" customHeight="1" thickTop="1" x14ac:dyDescent="0.25">
      <c r="B22" s="865" t="s">
        <v>227</v>
      </c>
      <c r="C22" s="865"/>
      <c r="D22" s="865"/>
      <c r="E22" s="865"/>
      <c r="F22" s="865"/>
      <c r="G22" s="865"/>
      <c r="H22" s="865"/>
      <c r="I22" s="865"/>
      <c r="K22" s="31" t="s">
        <v>92</v>
      </c>
    </row>
    <row r="23" spans="2:19" ht="15" customHeight="1" x14ac:dyDescent="0.25">
      <c r="B23" s="865" t="s">
        <v>228</v>
      </c>
      <c r="C23" s="865"/>
      <c r="D23" s="865"/>
      <c r="E23" s="865"/>
      <c r="F23" s="865"/>
      <c r="G23" s="865"/>
      <c r="H23" s="865"/>
      <c r="I23" s="865"/>
      <c r="J23" s="38"/>
      <c r="K23" s="39"/>
    </row>
    <row r="24" spans="2:19" ht="14.25" customHeight="1" x14ac:dyDescent="0.25">
      <c r="B24" s="866"/>
      <c r="C24" s="866"/>
      <c r="D24" s="866"/>
      <c r="E24" s="866"/>
      <c r="F24" s="866"/>
      <c r="G24" s="866"/>
      <c r="H24" s="866"/>
      <c r="I24" s="866"/>
      <c r="J24" s="866"/>
      <c r="K24" s="866"/>
    </row>
    <row r="25" spans="2:19" ht="3.75" hidden="1" customHeight="1" x14ac:dyDescent="0.25">
      <c r="B25" s="680"/>
      <c r="C25" s="680"/>
      <c r="D25" s="680"/>
      <c r="E25" s="680"/>
      <c r="F25" s="680"/>
      <c r="G25" s="680"/>
      <c r="H25" s="680"/>
      <c r="I25" s="680"/>
      <c r="J25" s="680"/>
      <c r="K25" s="680"/>
    </row>
    <row r="26" spans="2:19" ht="5.25" hidden="1" customHeight="1" x14ac:dyDescent="0.25">
      <c r="B26" s="680"/>
      <c r="C26" s="680"/>
      <c r="D26" s="680"/>
      <c r="E26" s="680"/>
      <c r="F26" s="680"/>
      <c r="G26" s="680"/>
      <c r="H26" s="680"/>
      <c r="I26" s="680"/>
      <c r="J26" s="680"/>
      <c r="K26" s="680"/>
    </row>
    <row r="27" spans="2:19" ht="9.75" customHeight="1" x14ac:dyDescent="0.25">
      <c r="B27" s="40"/>
      <c r="C27" s="41"/>
      <c r="D27" s="41"/>
      <c r="E27" s="41"/>
      <c r="F27" s="41"/>
      <c r="G27" s="41"/>
      <c r="H27" s="41"/>
      <c r="I27" s="41"/>
      <c r="J27" s="37"/>
      <c r="K27" s="37"/>
    </row>
    <row r="28" spans="2:19" ht="24" customHeight="1" x14ac:dyDescent="0.25">
      <c r="B28" s="674" t="s">
        <v>230</v>
      </c>
      <c r="C28" s="674"/>
      <c r="D28" s="786"/>
      <c r="E28" s="786"/>
      <c r="F28" s="786"/>
      <c r="G28" s="786"/>
      <c r="H28" s="165"/>
      <c r="I28" s="165"/>
      <c r="J28" s="165"/>
      <c r="K28" s="675">
        <v>39</v>
      </c>
      <c r="L28" s="7"/>
      <c r="M28" s="7"/>
      <c r="N28" s="7"/>
      <c r="O28" s="7"/>
      <c r="P28" s="7"/>
      <c r="Q28" s="7"/>
      <c r="S28" s="9"/>
    </row>
    <row r="29" spans="2:19" ht="30" customHeight="1" x14ac:dyDescent="0.25">
      <c r="B29" s="867" t="s">
        <v>450</v>
      </c>
      <c r="C29" s="867"/>
      <c r="D29" s="867"/>
      <c r="E29" s="867"/>
      <c r="F29" s="867"/>
      <c r="G29" s="867"/>
      <c r="H29" s="867"/>
      <c r="I29" s="867"/>
      <c r="J29" s="867"/>
      <c r="K29" s="867"/>
    </row>
    <row r="30" spans="2:19" s="166" customFormat="1" ht="27" customHeight="1" thickBot="1" x14ac:dyDescent="0.3">
      <c r="B30" s="868" t="s">
        <v>484</v>
      </c>
      <c r="C30" s="868"/>
      <c r="D30" s="868"/>
      <c r="E30" s="868"/>
      <c r="F30" s="868"/>
      <c r="G30" s="868"/>
      <c r="H30" s="868"/>
      <c r="I30" s="868"/>
      <c r="J30" s="868"/>
      <c r="K30" s="868"/>
    </row>
    <row r="31" spans="2:19" ht="27.75" customHeight="1" thickTop="1" x14ac:dyDescent="0.25">
      <c r="B31" s="788" t="s">
        <v>111</v>
      </c>
      <c r="C31" s="788"/>
      <c r="D31" s="788" t="s">
        <v>112</v>
      </c>
      <c r="E31" s="792" t="s">
        <v>113</v>
      </c>
      <c r="F31" s="792"/>
      <c r="G31" s="792"/>
      <c r="H31" s="677"/>
      <c r="I31" s="792" t="s">
        <v>114</v>
      </c>
      <c r="J31" s="792"/>
      <c r="K31" s="792"/>
    </row>
    <row r="32" spans="2:19" ht="27" customHeight="1" x14ac:dyDescent="0.25">
      <c r="B32" s="795"/>
      <c r="C32" s="795"/>
      <c r="D32" s="795"/>
      <c r="E32" s="190" t="s">
        <v>98</v>
      </c>
      <c r="F32" s="190" t="s">
        <v>99</v>
      </c>
      <c r="G32" s="190" t="s">
        <v>115</v>
      </c>
      <c r="H32" s="189"/>
      <c r="I32" s="190" t="s">
        <v>98</v>
      </c>
      <c r="J32" s="190" t="s">
        <v>99</v>
      </c>
      <c r="K32" s="190" t="s">
        <v>115</v>
      </c>
    </row>
    <row r="33" spans="2:11" ht="21" customHeight="1" x14ac:dyDescent="0.25">
      <c r="B33" s="99" t="s">
        <v>147</v>
      </c>
      <c r="C33" s="134" t="s">
        <v>213</v>
      </c>
      <c r="D33" s="135" t="s">
        <v>138</v>
      </c>
      <c r="E33" s="156" t="s">
        <v>247</v>
      </c>
      <c r="F33" s="107">
        <v>0.18</v>
      </c>
      <c r="G33" s="101">
        <v>1.2E-2</v>
      </c>
      <c r="H33" s="101"/>
      <c r="I33" s="156" t="s">
        <v>247</v>
      </c>
      <c r="J33" s="107">
        <v>0.02</v>
      </c>
      <c r="K33" s="101">
        <v>2E-3</v>
      </c>
    </row>
    <row r="34" spans="2:11" ht="21" customHeight="1" x14ac:dyDescent="0.25">
      <c r="B34" s="99" t="s">
        <v>148</v>
      </c>
      <c r="C34" s="134" t="s">
        <v>214</v>
      </c>
      <c r="D34" s="135" t="s">
        <v>138</v>
      </c>
      <c r="E34" s="102">
        <v>0.18</v>
      </c>
      <c r="F34" s="102">
        <v>7.4</v>
      </c>
      <c r="G34" s="102">
        <v>1.38</v>
      </c>
      <c r="H34" s="102"/>
      <c r="I34" s="102">
        <v>7.0000000000000007E-2</v>
      </c>
      <c r="J34" s="102">
        <v>7.3</v>
      </c>
      <c r="K34" s="102">
        <v>1.36</v>
      </c>
    </row>
    <row r="35" spans="2:11" ht="21" customHeight="1" x14ac:dyDescent="0.25">
      <c r="B35" s="99" t="s">
        <v>149</v>
      </c>
      <c r="C35" s="134" t="s">
        <v>215</v>
      </c>
      <c r="D35" s="135" t="s">
        <v>138</v>
      </c>
      <c r="E35" s="101">
        <v>1.3</v>
      </c>
      <c r="F35" s="103">
        <v>10.4</v>
      </c>
      <c r="G35" s="103">
        <v>5.0999999999999996</v>
      </c>
      <c r="H35" s="101"/>
      <c r="I35" s="103">
        <v>1</v>
      </c>
      <c r="J35" s="103">
        <v>9.6</v>
      </c>
      <c r="K35" s="103">
        <v>4.8</v>
      </c>
    </row>
    <row r="36" spans="2:11" ht="21" customHeight="1" x14ac:dyDescent="0.25">
      <c r="B36" s="95" t="s">
        <v>150</v>
      </c>
      <c r="C36" s="134" t="s">
        <v>216</v>
      </c>
      <c r="D36" s="135" t="s">
        <v>138</v>
      </c>
      <c r="E36" s="156" t="s">
        <v>246</v>
      </c>
      <c r="F36" s="102">
        <v>0.33</v>
      </c>
      <c r="G36" s="101">
        <v>0.06</v>
      </c>
      <c r="H36" s="101"/>
      <c r="I36" s="156" t="s">
        <v>246</v>
      </c>
      <c r="J36" s="101">
        <v>0.17</v>
      </c>
      <c r="K36" s="101">
        <v>0.03</v>
      </c>
    </row>
    <row r="37" spans="2:11" ht="21" customHeight="1" x14ac:dyDescent="0.25">
      <c r="B37" s="104" t="s">
        <v>151</v>
      </c>
      <c r="C37" s="134" t="s">
        <v>152</v>
      </c>
      <c r="D37" s="135" t="s">
        <v>138</v>
      </c>
      <c r="E37" s="156" t="s">
        <v>248</v>
      </c>
      <c r="F37" s="156" t="s">
        <v>248</v>
      </c>
      <c r="G37" s="156" t="s">
        <v>248</v>
      </c>
      <c r="H37" s="156"/>
      <c r="I37" s="156" t="s">
        <v>248</v>
      </c>
      <c r="J37" s="156" t="s">
        <v>248</v>
      </c>
      <c r="K37" s="156" t="s">
        <v>248</v>
      </c>
    </row>
    <row r="38" spans="2:11" ht="21" customHeight="1" x14ac:dyDescent="0.25">
      <c r="B38" s="95" t="s">
        <v>153</v>
      </c>
      <c r="C38" s="134" t="s">
        <v>154</v>
      </c>
      <c r="D38" s="135" t="s">
        <v>138</v>
      </c>
      <c r="E38" s="156" t="s">
        <v>246</v>
      </c>
      <c r="F38" s="156" t="s">
        <v>246</v>
      </c>
      <c r="G38" s="156" t="s">
        <v>246</v>
      </c>
      <c r="H38" s="156"/>
      <c r="I38" s="156" t="s">
        <v>246</v>
      </c>
      <c r="J38" s="156" t="s">
        <v>246</v>
      </c>
      <c r="K38" s="156" t="s">
        <v>246</v>
      </c>
    </row>
    <row r="39" spans="2:11" ht="21" customHeight="1" x14ac:dyDescent="0.25">
      <c r="B39" s="95" t="s">
        <v>155</v>
      </c>
      <c r="C39" s="134" t="s">
        <v>156</v>
      </c>
      <c r="D39" s="135" t="s">
        <v>138</v>
      </c>
      <c r="E39" s="156" t="s">
        <v>249</v>
      </c>
      <c r="F39" s="101">
        <v>2.1999999999999999E-2</v>
      </c>
      <c r="G39" s="101">
        <v>0.02</v>
      </c>
      <c r="H39" s="101"/>
      <c r="I39" s="156" t="s">
        <v>249</v>
      </c>
      <c r="J39" s="174">
        <v>2.3E-2</v>
      </c>
      <c r="K39" s="174">
        <v>0.03</v>
      </c>
    </row>
    <row r="40" spans="2:11" ht="21" customHeight="1" x14ac:dyDescent="0.25">
      <c r="B40" s="105" t="s">
        <v>157</v>
      </c>
      <c r="C40" s="134" t="s">
        <v>158</v>
      </c>
      <c r="D40" s="135" t="s">
        <v>138</v>
      </c>
      <c r="E40" s="156" t="s">
        <v>249</v>
      </c>
      <c r="F40" s="101">
        <v>2.3E-2</v>
      </c>
      <c r="G40" s="101">
        <v>0.02</v>
      </c>
      <c r="H40" s="156"/>
      <c r="I40" s="156" t="s">
        <v>249</v>
      </c>
      <c r="J40" s="156" t="s">
        <v>249</v>
      </c>
      <c r="K40" s="156" t="s">
        <v>249</v>
      </c>
    </row>
    <row r="41" spans="2:11" ht="21" customHeight="1" x14ac:dyDescent="0.25">
      <c r="B41" s="106" t="s">
        <v>159</v>
      </c>
      <c r="C41" s="134" t="s">
        <v>160</v>
      </c>
      <c r="D41" s="135" t="s">
        <v>138</v>
      </c>
      <c r="E41" s="156" t="s">
        <v>353</v>
      </c>
      <c r="F41" s="107">
        <v>1.4E-2</v>
      </c>
      <c r="G41" s="107">
        <v>6.0000000000000001E-3</v>
      </c>
      <c r="H41" s="101"/>
      <c r="I41" s="156" t="s">
        <v>353</v>
      </c>
      <c r="J41" s="107">
        <v>1.0999999999999999E-2</v>
      </c>
      <c r="K41" s="174">
        <v>6.0000000000000001E-3</v>
      </c>
    </row>
    <row r="42" spans="2:11" ht="21" customHeight="1" x14ac:dyDescent="0.25">
      <c r="B42" s="106" t="s">
        <v>161</v>
      </c>
      <c r="C42" s="134" t="s">
        <v>162</v>
      </c>
      <c r="D42" s="135" t="s">
        <v>138</v>
      </c>
      <c r="E42" s="156" t="s">
        <v>354</v>
      </c>
      <c r="F42" s="156" t="s">
        <v>354</v>
      </c>
      <c r="G42" s="156" t="s">
        <v>354</v>
      </c>
      <c r="H42" s="156"/>
      <c r="I42" s="156" t="s">
        <v>354</v>
      </c>
      <c r="J42" s="156" t="s">
        <v>354</v>
      </c>
      <c r="K42" s="156" t="s">
        <v>354</v>
      </c>
    </row>
    <row r="43" spans="2:11" ht="21" customHeight="1" x14ac:dyDescent="0.25">
      <c r="B43" s="106" t="s">
        <v>163</v>
      </c>
      <c r="C43" s="134" t="s">
        <v>164</v>
      </c>
      <c r="D43" s="135" t="s">
        <v>138</v>
      </c>
      <c r="E43" s="101">
        <v>53</v>
      </c>
      <c r="F43" s="101">
        <v>80</v>
      </c>
      <c r="G43" s="101">
        <v>64</v>
      </c>
      <c r="H43" s="101"/>
      <c r="I43" s="101">
        <v>53</v>
      </c>
      <c r="J43" s="101">
        <v>90</v>
      </c>
      <c r="K43" s="101">
        <v>71</v>
      </c>
    </row>
    <row r="44" spans="2:11" ht="21" customHeight="1" x14ac:dyDescent="0.25">
      <c r="B44" s="106" t="s">
        <v>165</v>
      </c>
      <c r="C44" s="134" t="s">
        <v>166</v>
      </c>
      <c r="D44" s="135" t="s">
        <v>138</v>
      </c>
      <c r="E44" s="102">
        <v>2.27</v>
      </c>
      <c r="F44" s="103">
        <v>4.4000000000000004</v>
      </c>
      <c r="G44" s="102">
        <v>3.05</v>
      </c>
      <c r="H44" s="102"/>
      <c r="I44" s="102">
        <v>2.4500000000000002</v>
      </c>
      <c r="J44" s="103">
        <v>3.3</v>
      </c>
      <c r="K44" s="101">
        <v>3.23</v>
      </c>
    </row>
    <row r="45" spans="2:11" ht="21" customHeight="1" x14ac:dyDescent="0.25">
      <c r="B45" s="106" t="s">
        <v>167</v>
      </c>
      <c r="C45" s="134" t="s">
        <v>168</v>
      </c>
      <c r="D45" s="135" t="s">
        <v>138</v>
      </c>
      <c r="E45" s="156" t="s">
        <v>320</v>
      </c>
      <c r="F45" s="156" t="s">
        <v>320</v>
      </c>
      <c r="G45" s="156" t="s">
        <v>320</v>
      </c>
      <c r="H45" s="156"/>
      <c r="I45" s="156" t="s">
        <v>320</v>
      </c>
      <c r="J45" s="156" t="s">
        <v>320</v>
      </c>
      <c r="K45" s="156" t="s">
        <v>320</v>
      </c>
    </row>
    <row r="46" spans="2:11" ht="21" customHeight="1" thickBot="1" x14ac:dyDescent="0.3">
      <c r="B46" s="232" t="s">
        <v>169</v>
      </c>
      <c r="C46" s="134" t="s">
        <v>170</v>
      </c>
      <c r="D46" s="135" t="s">
        <v>138</v>
      </c>
      <c r="E46" s="156" t="s">
        <v>247</v>
      </c>
      <c r="F46" s="156" t="s">
        <v>247</v>
      </c>
      <c r="G46" s="156" t="s">
        <v>247</v>
      </c>
      <c r="H46" s="233"/>
      <c r="I46" s="156" t="s">
        <v>247</v>
      </c>
      <c r="J46" s="156" t="s">
        <v>247</v>
      </c>
      <c r="K46" s="156" t="s">
        <v>247</v>
      </c>
    </row>
    <row r="47" spans="2:11" ht="7.5" customHeight="1" thickTop="1" x14ac:dyDescent="0.25">
      <c r="B47" s="234"/>
      <c r="C47" s="235"/>
      <c r="D47" s="236"/>
      <c r="E47" s="237"/>
      <c r="F47" s="237"/>
      <c r="G47" s="237"/>
      <c r="H47" s="237"/>
      <c r="I47" s="237"/>
      <c r="J47" s="237"/>
      <c r="K47" s="237"/>
    </row>
    <row r="48" spans="2:11" ht="19.5" customHeight="1" x14ac:dyDescent="0.25">
      <c r="B48" s="865" t="s">
        <v>281</v>
      </c>
      <c r="C48" s="865"/>
      <c r="D48" s="865"/>
      <c r="E48" s="865"/>
      <c r="F48" s="865"/>
      <c r="G48" s="865"/>
      <c r="H48" s="865"/>
      <c r="I48" s="865"/>
    </row>
    <row r="49" spans="2:19" ht="19.5" customHeight="1" x14ac:dyDescent="0.25">
      <c r="B49" s="865" t="s">
        <v>228</v>
      </c>
      <c r="C49" s="865"/>
      <c r="D49" s="865"/>
      <c r="E49" s="865"/>
      <c r="F49" s="865"/>
      <c r="G49" s="865"/>
      <c r="H49" s="865"/>
      <c r="I49" s="865"/>
      <c r="J49" s="38"/>
      <c r="K49" s="39"/>
    </row>
    <row r="50" spans="2:19" ht="29.25" customHeight="1" x14ac:dyDescent="0.25">
      <c r="B50" s="866"/>
      <c r="C50" s="866"/>
      <c r="D50" s="866"/>
      <c r="E50" s="866"/>
      <c r="F50" s="866"/>
      <c r="G50" s="866"/>
      <c r="H50" s="866"/>
      <c r="I50" s="866"/>
      <c r="J50" s="866"/>
      <c r="K50" s="866"/>
    </row>
    <row r="51" spans="2:19" ht="19.5" customHeight="1" x14ac:dyDescent="0.25">
      <c r="B51" s="680"/>
      <c r="C51" s="680"/>
      <c r="D51" s="680"/>
      <c r="E51" s="680"/>
      <c r="F51" s="680"/>
      <c r="G51" s="680"/>
      <c r="H51" s="680"/>
      <c r="I51" s="680"/>
      <c r="J51" s="680"/>
      <c r="K51" s="680"/>
    </row>
    <row r="52" spans="2:19" ht="19.5" customHeight="1" x14ac:dyDescent="0.25">
      <c r="B52" s="40"/>
      <c r="C52" s="41"/>
      <c r="D52" s="41"/>
      <c r="E52" s="41"/>
      <c r="F52" s="41"/>
      <c r="G52" s="41"/>
      <c r="H52" s="41"/>
      <c r="I52" s="41"/>
      <c r="J52" s="37"/>
      <c r="K52" s="37"/>
    </row>
    <row r="53" spans="2:19" ht="22.5" customHeight="1" x14ac:dyDescent="0.25">
      <c r="B53" s="674" t="s">
        <v>230</v>
      </c>
      <c r="C53" s="674"/>
      <c r="D53" s="786"/>
      <c r="E53" s="786"/>
      <c r="F53" s="786"/>
      <c r="G53" s="786"/>
      <c r="H53" s="165"/>
      <c r="I53" s="165"/>
      <c r="J53" s="165"/>
      <c r="K53" s="675">
        <v>40</v>
      </c>
      <c r="L53" s="7"/>
      <c r="M53" s="7"/>
      <c r="N53" s="7"/>
      <c r="O53" s="7"/>
      <c r="P53" s="7"/>
      <c r="Q53" s="7"/>
      <c r="S53" s="9"/>
    </row>
  </sheetData>
  <mergeCells count="20">
    <mergeCell ref="B22:I22"/>
    <mergeCell ref="B1:K1"/>
    <mergeCell ref="B2:K2"/>
    <mergeCell ref="B3:C4"/>
    <mergeCell ref="D3:D4"/>
    <mergeCell ref="E3:G3"/>
    <mergeCell ref="I3:K3"/>
    <mergeCell ref="B31:C32"/>
    <mergeCell ref="D31:D32"/>
    <mergeCell ref="D28:G28"/>
    <mergeCell ref="D53:G53"/>
    <mergeCell ref="B23:I23"/>
    <mergeCell ref="B24:K24"/>
    <mergeCell ref="E31:G31"/>
    <mergeCell ref="I31:K31"/>
    <mergeCell ref="B48:I48"/>
    <mergeCell ref="B50:K50"/>
    <mergeCell ref="B29:K29"/>
    <mergeCell ref="B30:K30"/>
    <mergeCell ref="B49:I49"/>
  </mergeCells>
  <printOptions horizontalCentered="1"/>
  <pageMargins left="0.43307086614173229" right="0.43307086614173229" top="0.59055118110236227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J38"/>
  <sheetViews>
    <sheetView rightToLeft="1" view="pageBreakPreview" topLeftCell="BV28" zoomScale="118" zoomScaleNormal="90" zoomScaleSheetLayoutView="118" workbookViewId="0">
      <selection activeCell="CI16" sqref="CI16"/>
    </sheetView>
  </sheetViews>
  <sheetFormatPr defaultRowHeight="15" x14ac:dyDescent="0.25"/>
  <cols>
    <col min="2" max="2" width="9.7109375" customWidth="1"/>
    <col min="3" max="3" width="11" customWidth="1"/>
    <col min="4" max="4" width="7.5703125" customWidth="1"/>
    <col min="5" max="7" width="8.5703125" customWidth="1"/>
    <col min="8" max="8" width="2.140625" customWidth="1"/>
    <col min="9" max="9" width="8.5703125" customWidth="1"/>
    <col min="10" max="10" width="8.140625" customWidth="1"/>
    <col min="11" max="11" width="8.5703125" customWidth="1"/>
    <col min="13" max="13" width="9.7109375" customWidth="1"/>
    <col min="14" max="14" width="8.5703125" customWidth="1"/>
    <col min="15" max="15" width="7.5703125" customWidth="1"/>
    <col min="16" max="16" width="8.5703125" customWidth="1"/>
    <col min="17" max="17" width="8.5703125" style="438" customWidth="1"/>
    <col min="18" max="18" width="8.5703125" customWidth="1"/>
    <col min="19" max="19" width="2.140625" customWidth="1"/>
    <col min="20" max="20" width="8.5703125" customWidth="1"/>
    <col min="21" max="21" width="10.42578125" style="438" customWidth="1"/>
    <col min="22" max="22" width="8.5703125" customWidth="1"/>
    <col min="24" max="24" width="8.7109375" customWidth="1"/>
    <col min="25" max="25" width="12.7109375" customWidth="1"/>
    <col min="26" max="26" width="7.5703125" customWidth="1"/>
    <col min="27" max="29" width="8.5703125" customWidth="1"/>
    <col min="30" max="30" width="2.140625" customWidth="1"/>
    <col min="31" max="33" width="8.5703125" customWidth="1"/>
    <col min="35" max="35" width="7.85546875" customWidth="1"/>
    <col min="36" max="36" width="11.5703125" customWidth="1"/>
    <col min="37" max="37" width="7.5703125" customWidth="1"/>
    <col min="38" max="40" width="8.5703125" customWidth="1"/>
    <col min="41" max="41" width="2.140625" customWidth="1"/>
    <col min="42" max="44" width="8.5703125" customWidth="1"/>
    <col min="46" max="46" width="5.42578125" customWidth="1"/>
    <col min="47" max="47" width="11.140625" customWidth="1"/>
    <col min="48" max="48" width="10.42578125" customWidth="1"/>
    <col min="49" max="51" width="8.5703125" customWidth="1"/>
    <col min="52" max="52" width="2.140625" customWidth="1"/>
    <col min="53" max="55" width="8.5703125" customWidth="1"/>
    <col min="57" max="57" width="8.28515625" customWidth="1"/>
    <col min="58" max="58" width="8.5703125" customWidth="1"/>
    <col min="59" max="59" width="9" customWidth="1"/>
    <col min="60" max="62" width="8.5703125" customWidth="1"/>
    <col min="63" max="63" width="2.140625" customWidth="1"/>
    <col min="64" max="66" width="8.5703125" customWidth="1"/>
    <col min="68" max="68" width="9" customWidth="1"/>
    <col min="69" max="69" width="9.85546875" customWidth="1"/>
    <col min="70" max="70" width="7.5703125" customWidth="1"/>
    <col min="71" max="73" width="8.5703125" customWidth="1"/>
    <col min="74" max="74" width="2.140625" customWidth="1"/>
    <col min="75" max="77" width="8.5703125" customWidth="1"/>
    <col min="79" max="79" width="8.7109375" customWidth="1"/>
    <col min="80" max="80" width="10.42578125" customWidth="1"/>
    <col min="81" max="81" width="7.5703125" customWidth="1"/>
    <col min="82" max="84" width="8.5703125" customWidth="1"/>
    <col min="85" max="85" width="2.140625" customWidth="1"/>
    <col min="86" max="88" width="8.5703125" customWidth="1"/>
  </cols>
  <sheetData>
    <row r="1" spans="1:88" ht="21" customHeight="1" x14ac:dyDescent="0.25">
      <c r="A1" s="804" t="s">
        <v>451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 t="s">
        <v>451</v>
      </c>
      <c r="M1" s="804"/>
      <c r="N1" s="804"/>
      <c r="O1" s="804"/>
      <c r="P1" s="804"/>
      <c r="Q1" s="804"/>
      <c r="R1" s="804"/>
      <c r="S1" s="804"/>
      <c r="T1" s="804"/>
      <c r="U1" s="804"/>
      <c r="V1" s="804"/>
      <c r="W1" s="804" t="s">
        <v>451</v>
      </c>
      <c r="X1" s="804"/>
      <c r="Y1" s="804"/>
      <c r="Z1" s="804"/>
      <c r="AA1" s="804"/>
      <c r="AB1" s="804"/>
      <c r="AC1" s="804"/>
      <c r="AD1" s="804"/>
      <c r="AE1" s="804"/>
      <c r="AF1" s="804"/>
      <c r="AG1" s="804"/>
      <c r="AH1" s="804" t="s">
        <v>451</v>
      </c>
      <c r="AI1" s="804"/>
      <c r="AJ1" s="804"/>
      <c r="AK1" s="804"/>
      <c r="AL1" s="804"/>
      <c r="AM1" s="804"/>
      <c r="AN1" s="804"/>
      <c r="AO1" s="804"/>
      <c r="AP1" s="804"/>
      <c r="AQ1" s="804"/>
      <c r="AR1" s="804"/>
      <c r="AS1" s="804" t="s">
        <v>451</v>
      </c>
      <c r="AT1" s="804"/>
      <c r="AU1" s="804"/>
      <c r="AV1" s="804"/>
      <c r="AW1" s="804"/>
      <c r="AX1" s="804"/>
      <c r="AY1" s="804"/>
      <c r="AZ1" s="804"/>
      <c r="BA1" s="804"/>
      <c r="BB1" s="804"/>
      <c r="BC1" s="804"/>
      <c r="BD1" s="804" t="s">
        <v>451</v>
      </c>
      <c r="BE1" s="804"/>
      <c r="BF1" s="804"/>
      <c r="BG1" s="804"/>
      <c r="BH1" s="804"/>
      <c r="BI1" s="804"/>
      <c r="BJ1" s="804"/>
      <c r="BK1" s="804"/>
      <c r="BL1" s="804"/>
      <c r="BM1" s="804"/>
      <c r="BN1" s="804"/>
      <c r="BO1" s="804" t="s">
        <v>451</v>
      </c>
      <c r="BP1" s="804"/>
      <c r="BQ1" s="804"/>
      <c r="BR1" s="804"/>
      <c r="BS1" s="804"/>
      <c r="BT1" s="804"/>
      <c r="BU1" s="804"/>
      <c r="BV1" s="804"/>
      <c r="BW1" s="804"/>
      <c r="BX1" s="804"/>
      <c r="BY1" s="804"/>
      <c r="BZ1" s="804" t="s">
        <v>451</v>
      </c>
      <c r="CA1" s="804"/>
      <c r="CB1" s="804"/>
      <c r="CC1" s="804"/>
      <c r="CD1" s="804"/>
      <c r="CE1" s="804"/>
      <c r="CF1" s="804"/>
      <c r="CG1" s="804"/>
      <c r="CH1" s="804"/>
      <c r="CI1" s="804"/>
      <c r="CJ1" s="804"/>
    </row>
    <row r="2" spans="1:88" ht="21" customHeight="1" x14ac:dyDescent="0.25">
      <c r="A2" s="804" t="s">
        <v>76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 t="s">
        <v>78</v>
      </c>
      <c r="M2" s="804"/>
      <c r="N2" s="804"/>
      <c r="O2" s="804"/>
      <c r="P2" s="804"/>
      <c r="Q2" s="804"/>
      <c r="R2" s="804"/>
      <c r="S2" s="804"/>
      <c r="T2" s="804"/>
      <c r="U2" s="804"/>
      <c r="V2" s="804"/>
      <c r="W2" s="804" t="s">
        <v>37</v>
      </c>
      <c r="X2" s="804"/>
      <c r="Y2" s="804"/>
      <c r="Z2" s="804"/>
      <c r="AA2" s="804"/>
      <c r="AB2" s="804"/>
      <c r="AC2" s="804"/>
      <c r="AD2" s="804"/>
      <c r="AE2" s="804"/>
      <c r="AF2" s="804"/>
      <c r="AG2" s="804"/>
      <c r="AH2" s="804" t="s">
        <v>74</v>
      </c>
      <c r="AI2" s="804"/>
      <c r="AJ2" s="804"/>
      <c r="AK2" s="804"/>
      <c r="AL2" s="804"/>
      <c r="AM2" s="804"/>
      <c r="AN2" s="804"/>
      <c r="AO2" s="804"/>
      <c r="AP2" s="804"/>
      <c r="AQ2" s="804"/>
      <c r="AR2" s="804"/>
      <c r="AS2" s="804" t="s">
        <v>79</v>
      </c>
      <c r="AT2" s="804"/>
      <c r="AU2" s="804"/>
      <c r="AV2" s="804"/>
      <c r="AW2" s="804"/>
      <c r="AX2" s="804"/>
      <c r="AY2" s="804"/>
      <c r="AZ2" s="804"/>
      <c r="BA2" s="804"/>
      <c r="BB2" s="804"/>
      <c r="BC2" s="804"/>
      <c r="BD2" s="804" t="s">
        <v>84</v>
      </c>
      <c r="BE2" s="804"/>
      <c r="BF2" s="804"/>
      <c r="BG2" s="804"/>
      <c r="BH2" s="804"/>
      <c r="BI2" s="804"/>
      <c r="BJ2" s="804"/>
      <c r="BK2" s="804"/>
      <c r="BL2" s="804"/>
      <c r="BM2" s="804"/>
      <c r="BN2" s="804"/>
      <c r="BO2" s="804" t="s">
        <v>86</v>
      </c>
      <c r="BP2" s="804"/>
      <c r="BQ2" s="804"/>
      <c r="BR2" s="804"/>
      <c r="BS2" s="804"/>
      <c r="BT2" s="804"/>
      <c r="BU2" s="804"/>
      <c r="BV2" s="804"/>
      <c r="BW2" s="804"/>
      <c r="BX2" s="804"/>
      <c r="BY2" s="804"/>
      <c r="BZ2" s="804" t="s">
        <v>88</v>
      </c>
      <c r="CA2" s="804"/>
      <c r="CB2" s="804"/>
      <c r="CC2" s="804"/>
      <c r="CD2" s="804"/>
      <c r="CE2" s="804"/>
      <c r="CF2" s="804"/>
      <c r="CG2" s="804"/>
      <c r="CH2" s="804"/>
      <c r="CI2" s="804"/>
      <c r="CJ2" s="804"/>
    </row>
    <row r="3" spans="1:88" s="167" customFormat="1" ht="20.25" customHeight="1" thickBot="1" x14ac:dyDescent="0.3">
      <c r="A3" s="791" t="s">
        <v>485</v>
      </c>
      <c r="B3" s="791"/>
      <c r="C3" s="791"/>
      <c r="D3" s="791"/>
      <c r="E3" s="791"/>
      <c r="F3" s="791"/>
      <c r="G3" s="791"/>
      <c r="H3" s="791"/>
      <c r="I3" s="791"/>
      <c r="J3" s="791"/>
      <c r="K3" s="791"/>
      <c r="L3" s="791" t="s">
        <v>486</v>
      </c>
      <c r="M3" s="791"/>
      <c r="N3" s="791"/>
      <c r="O3" s="791"/>
      <c r="P3" s="791"/>
      <c r="Q3" s="791"/>
      <c r="R3" s="791"/>
      <c r="S3" s="791"/>
      <c r="T3" s="791"/>
      <c r="U3" s="791"/>
      <c r="V3" s="791"/>
      <c r="W3" s="791" t="s">
        <v>486</v>
      </c>
      <c r="X3" s="791"/>
      <c r="Y3" s="791"/>
      <c r="Z3" s="791"/>
      <c r="AA3" s="791"/>
      <c r="AB3" s="791"/>
      <c r="AC3" s="791"/>
      <c r="AD3" s="791"/>
      <c r="AE3" s="791"/>
      <c r="AF3" s="791"/>
      <c r="AG3" s="791"/>
      <c r="AH3" s="791" t="s">
        <v>486</v>
      </c>
      <c r="AI3" s="791"/>
      <c r="AJ3" s="791"/>
      <c r="AK3" s="791"/>
      <c r="AL3" s="791"/>
      <c r="AM3" s="791"/>
      <c r="AN3" s="791"/>
      <c r="AO3" s="791"/>
      <c r="AP3" s="791"/>
      <c r="AQ3" s="791"/>
      <c r="AR3" s="791"/>
      <c r="AS3" s="791" t="s">
        <v>486</v>
      </c>
      <c r="AT3" s="791"/>
      <c r="AU3" s="791"/>
      <c r="AV3" s="791"/>
      <c r="AW3" s="791"/>
      <c r="AX3" s="791"/>
      <c r="AY3" s="791"/>
      <c r="AZ3" s="791"/>
      <c r="BA3" s="791"/>
      <c r="BB3" s="791"/>
      <c r="BC3" s="791"/>
      <c r="BD3" s="791" t="s">
        <v>486</v>
      </c>
      <c r="BE3" s="791"/>
      <c r="BF3" s="791"/>
      <c r="BG3" s="791"/>
      <c r="BH3" s="791"/>
      <c r="BI3" s="791"/>
      <c r="BJ3" s="791"/>
      <c r="BK3" s="791"/>
      <c r="BL3" s="791"/>
      <c r="BM3" s="791"/>
      <c r="BN3" s="791"/>
      <c r="BO3" s="791" t="s">
        <v>486</v>
      </c>
      <c r="BP3" s="791"/>
      <c r="BQ3" s="791"/>
      <c r="BR3" s="791"/>
      <c r="BS3" s="791"/>
      <c r="BT3" s="791"/>
      <c r="BU3" s="791"/>
      <c r="BV3" s="791"/>
      <c r="BW3" s="791"/>
      <c r="BX3" s="791"/>
      <c r="BY3" s="791"/>
      <c r="BZ3" s="791" t="s">
        <v>486</v>
      </c>
      <c r="CA3" s="791"/>
      <c r="CB3" s="791"/>
      <c r="CC3" s="791"/>
      <c r="CD3" s="791"/>
      <c r="CE3" s="791"/>
      <c r="CF3" s="791"/>
      <c r="CG3" s="791"/>
      <c r="CH3" s="791"/>
      <c r="CI3" s="791"/>
      <c r="CJ3" s="791"/>
    </row>
    <row r="4" spans="1:88" ht="24.75" customHeight="1" thickTop="1" x14ac:dyDescent="0.25">
      <c r="A4" s="793" t="s">
        <v>202</v>
      </c>
      <c r="B4" s="793"/>
      <c r="C4" s="656"/>
      <c r="D4" s="793" t="s">
        <v>171</v>
      </c>
      <c r="E4" s="792" t="s">
        <v>276</v>
      </c>
      <c r="F4" s="792"/>
      <c r="G4" s="792"/>
      <c r="H4" s="658"/>
      <c r="I4" s="792" t="s">
        <v>114</v>
      </c>
      <c r="J4" s="792"/>
      <c r="K4" s="792"/>
      <c r="L4" s="793" t="s">
        <v>202</v>
      </c>
      <c r="M4" s="793"/>
      <c r="N4" s="744"/>
      <c r="O4" s="793" t="s">
        <v>171</v>
      </c>
      <c r="P4" s="792" t="s">
        <v>276</v>
      </c>
      <c r="Q4" s="792"/>
      <c r="R4" s="792"/>
      <c r="S4" s="745"/>
      <c r="T4" s="792" t="s">
        <v>114</v>
      </c>
      <c r="U4" s="792"/>
      <c r="V4" s="792"/>
      <c r="W4" s="793" t="s">
        <v>202</v>
      </c>
      <c r="X4" s="793"/>
      <c r="Y4" s="744"/>
      <c r="Z4" s="793" t="s">
        <v>171</v>
      </c>
      <c r="AA4" s="792" t="s">
        <v>276</v>
      </c>
      <c r="AB4" s="792"/>
      <c r="AC4" s="792"/>
      <c r="AD4" s="745"/>
      <c r="AE4" s="792" t="s">
        <v>114</v>
      </c>
      <c r="AF4" s="792"/>
      <c r="AG4" s="792"/>
      <c r="AH4" s="793" t="s">
        <v>202</v>
      </c>
      <c r="AI4" s="793"/>
      <c r="AJ4" s="744"/>
      <c r="AK4" s="793" t="s">
        <v>171</v>
      </c>
      <c r="AL4" s="792" t="s">
        <v>276</v>
      </c>
      <c r="AM4" s="792"/>
      <c r="AN4" s="792"/>
      <c r="AO4" s="745"/>
      <c r="AP4" s="792" t="s">
        <v>114</v>
      </c>
      <c r="AQ4" s="792"/>
      <c r="AR4" s="792"/>
      <c r="AS4" s="793" t="s">
        <v>202</v>
      </c>
      <c r="AT4" s="793"/>
      <c r="AU4" s="744"/>
      <c r="AV4" s="793" t="s">
        <v>171</v>
      </c>
      <c r="AW4" s="792" t="s">
        <v>276</v>
      </c>
      <c r="AX4" s="792"/>
      <c r="AY4" s="792"/>
      <c r="AZ4" s="745"/>
      <c r="BA4" s="792" t="s">
        <v>114</v>
      </c>
      <c r="BB4" s="792"/>
      <c r="BC4" s="792"/>
      <c r="BD4" s="793" t="s">
        <v>202</v>
      </c>
      <c r="BE4" s="793"/>
      <c r="BF4" s="744"/>
      <c r="BG4" s="793" t="s">
        <v>171</v>
      </c>
      <c r="BH4" s="792" t="s">
        <v>276</v>
      </c>
      <c r="BI4" s="792"/>
      <c r="BJ4" s="792"/>
      <c r="BK4" s="745"/>
      <c r="BL4" s="792" t="s">
        <v>114</v>
      </c>
      <c r="BM4" s="792"/>
      <c r="BN4" s="792"/>
      <c r="BO4" s="793" t="s">
        <v>202</v>
      </c>
      <c r="BP4" s="793"/>
      <c r="BQ4" s="744"/>
      <c r="BR4" s="793" t="s">
        <v>171</v>
      </c>
      <c r="BS4" s="792" t="s">
        <v>276</v>
      </c>
      <c r="BT4" s="792"/>
      <c r="BU4" s="792"/>
      <c r="BV4" s="745"/>
      <c r="BW4" s="792" t="s">
        <v>114</v>
      </c>
      <c r="BX4" s="792"/>
      <c r="BY4" s="792"/>
      <c r="BZ4" s="793" t="s">
        <v>202</v>
      </c>
      <c r="CA4" s="793"/>
      <c r="CB4" s="744"/>
      <c r="CC4" s="793" t="s">
        <v>171</v>
      </c>
      <c r="CD4" s="792" t="s">
        <v>276</v>
      </c>
      <c r="CE4" s="792"/>
      <c r="CF4" s="792"/>
      <c r="CG4" s="745"/>
      <c r="CH4" s="792" t="s">
        <v>114</v>
      </c>
      <c r="CI4" s="792"/>
      <c r="CJ4" s="792"/>
    </row>
    <row r="5" spans="1:88" s="145" customFormat="1" ht="22.5" customHeight="1" x14ac:dyDescent="0.2">
      <c r="A5" s="869"/>
      <c r="B5" s="869"/>
      <c r="C5" s="660"/>
      <c r="D5" s="869"/>
      <c r="E5" s="194" t="s">
        <v>98</v>
      </c>
      <c r="F5" s="194" t="s">
        <v>99</v>
      </c>
      <c r="G5" s="194" t="s">
        <v>115</v>
      </c>
      <c r="H5" s="188"/>
      <c r="I5" s="194" t="s">
        <v>98</v>
      </c>
      <c r="J5" s="194" t="s">
        <v>99</v>
      </c>
      <c r="K5" s="194" t="s">
        <v>115</v>
      </c>
      <c r="L5" s="869"/>
      <c r="M5" s="869"/>
      <c r="N5" s="746"/>
      <c r="O5" s="869"/>
      <c r="P5" s="194" t="s">
        <v>98</v>
      </c>
      <c r="Q5" s="194" t="s">
        <v>99</v>
      </c>
      <c r="R5" s="194" t="s">
        <v>115</v>
      </c>
      <c r="S5" s="188"/>
      <c r="T5" s="194" t="s">
        <v>98</v>
      </c>
      <c r="U5" s="194" t="s">
        <v>99</v>
      </c>
      <c r="V5" s="194" t="s">
        <v>115</v>
      </c>
      <c r="W5" s="869"/>
      <c r="X5" s="869"/>
      <c r="Y5" s="746"/>
      <c r="Z5" s="869"/>
      <c r="AA5" s="194" t="s">
        <v>98</v>
      </c>
      <c r="AB5" s="194" t="s">
        <v>99</v>
      </c>
      <c r="AC5" s="194" t="s">
        <v>115</v>
      </c>
      <c r="AD5" s="188"/>
      <c r="AE5" s="194" t="s">
        <v>98</v>
      </c>
      <c r="AF5" s="194" t="s">
        <v>99</v>
      </c>
      <c r="AG5" s="194" t="s">
        <v>115</v>
      </c>
      <c r="AH5" s="869"/>
      <c r="AI5" s="869"/>
      <c r="AJ5" s="746"/>
      <c r="AK5" s="869"/>
      <c r="AL5" s="194" t="s">
        <v>98</v>
      </c>
      <c r="AM5" s="194" t="s">
        <v>99</v>
      </c>
      <c r="AN5" s="194" t="s">
        <v>115</v>
      </c>
      <c r="AO5" s="188"/>
      <c r="AP5" s="194" t="s">
        <v>98</v>
      </c>
      <c r="AQ5" s="194" t="s">
        <v>99</v>
      </c>
      <c r="AR5" s="194" t="s">
        <v>115</v>
      </c>
      <c r="AS5" s="869"/>
      <c r="AT5" s="869"/>
      <c r="AU5" s="746"/>
      <c r="AV5" s="869"/>
      <c r="AW5" s="194" t="s">
        <v>98</v>
      </c>
      <c r="AX5" s="194" t="s">
        <v>99</v>
      </c>
      <c r="AY5" s="194" t="s">
        <v>115</v>
      </c>
      <c r="AZ5" s="188"/>
      <c r="BA5" s="194" t="s">
        <v>98</v>
      </c>
      <c r="BB5" s="194" t="s">
        <v>99</v>
      </c>
      <c r="BC5" s="194" t="s">
        <v>115</v>
      </c>
      <c r="BD5" s="869"/>
      <c r="BE5" s="869"/>
      <c r="BF5" s="746"/>
      <c r="BG5" s="869"/>
      <c r="BH5" s="194" t="s">
        <v>98</v>
      </c>
      <c r="BI5" s="194" t="s">
        <v>99</v>
      </c>
      <c r="BJ5" s="194" t="s">
        <v>115</v>
      </c>
      <c r="BK5" s="188"/>
      <c r="BL5" s="194" t="s">
        <v>98</v>
      </c>
      <c r="BM5" s="194" t="s">
        <v>99</v>
      </c>
      <c r="BN5" s="194" t="s">
        <v>115</v>
      </c>
      <c r="BO5" s="869"/>
      <c r="BP5" s="869"/>
      <c r="BQ5" s="746"/>
      <c r="BR5" s="869"/>
      <c r="BS5" s="194" t="s">
        <v>98</v>
      </c>
      <c r="BT5" s="194" t="s">
        <v>99</v>
      </c>
      <c r="BU5" s="194" t="s">
        <v>115</v>
      </c>
      <c r="BV5" s="188"/>
      <c r="BW5" s="194" t="s">
        <v>98</v>
      </c>
      <c r="BX5" s="194" t="s">
        <v>99</v>
      </c>
      <c r="BY5" s="194" t="s">
        <v>115</v>
      </c>
      <c r="BZ5" s="869"/>
      <c r="CA5" s="869"/>
      <c r="CB5" s="746"/>
      <c r="CC5" s="869"/>
      <c r="CD5" s="194" t="s">
        <v>98</v>
      </c>
      <c r="CE5" s="194" t="s">
        <v>99</v>
      </c>
      <c r="CF5" s="194" t="s">
        <v>115</v>
      </c>
      <c r="CG5" s="188"/>
      <c r="CH5" s="194" t="s">
        <v>98</v>
      </c>
      <c r="CI5" s="194" t="s">
        <v>99</v>
      </c>
      <c r="CJ5" s="194" t="s">
        <v>115</v>
      </c>
    </row>
    <row r="6" spans="1:88" ht="21" customHeight="1" x14ac:dyDescent="0.25">
      <c r="A6" s="872" t="s">
        <v>121</v>
      </c>
      <c r="B6" s="872"/>
      <c r="C6" s="139" t="s">
        <v>172</v>
      </c>
      <c r="D6" s="18" t="s">
        <v>122</v>
      </c>
      <c r="E6" s="434">
        <v>0.91</v>
      </c>
      <c r="F6" s="434">
        <v>280</v>
      </c>
      <c r="G6" s="434">
        <v>16.2</v>
      </c>
      <c r="H6" s="219"/>
      <c r="I6" s="67">
        <v>0.4</v>
      </c>
      <c r="J6" s="67">
        <v>5</v>
      </c>
      <c r="K6" s="434">
        <v>3.5</v>
      </c>
      <c r="L6" s="872" t="s">
        <v>121</v>
      </c>
      <c r="M6" s="872"/>
      <c r="N6" s="139" t="s">
        <v>172</v>
      </c>
      <c r="O6" s="18" t="s">
        <v>122</v>
      </c>
      <c r="P6" s="306">
        <v>0.4</v>
      </c>
      <c r="Q6" s="510">
        <v>4000</v>
      </c>
      <c r="R6" s="307">
        <v>49</v>
      </c>
      <c r="S6" s="154"/>
      <c r="T6" s="306">
        <v>0.3</v>
      </c>
      <c r="U6" s="429">
        <v>63</v>
      </c>
      <c r="V6" s="306">
        <v>4.9000000000000004</v>
      </c>
      <c r="W6" s="872" t="s">
        <v>121</v>
      </c>
      <c r="X6" s="872"/>
      <c r="Y6" s="139" t="s">
        <v>172</v>
      </c>
      <c r="Z6" s="18" t="s">
        <v>122</v>
      </c>
      <c r="AA6" s="346">
        <v>1.1399999999999999</v>
      </c>
      <c r="AB6" s="363">
        <v>289</v>
      </c>
      <c r="AC6" s="348">
        <v>35.9</v>
      </c>
      <c r="AD6" s="346"/>
      <c r="AE6" s="348">
        <v>0.3</v>
      </c>
      <c r="AF6" s="348">
        <v>70.599999999999994</v>
      </c>
      <c r="AG6" s="348">
        <v>11.9</v>
      </c>
      <c r="AH6" s="872" t="s">
        <v>121</v>
      </c>
      <c r="AI6" s="872"/>
      <c r="AJ6" s="139" t="s">
        <v>172</v>
      </c>
      <c r="AK6" s="18" t="s">
        <v>122</v>
      </c>
      <c r="AL6" s="306">
        <v>2.5</v>
      </c>
      <c r="AM6" s="307">
        <v>152</v>
      </c>
      <c r="AN6" s="306">
        <v>22.2</v>
      </c>
      <c r="AO6" s="154"/>
      <c r="AP6" s="306">
        <v>0.1</v>
      </c>
      <c r="AQ6" s="307">
        <v>55</v>
      </c>
      <c r="AR6" s="306">
        <v>4.2</v>
      </c>
      <c r="AS6" s="872" t="s">
        <v>121</v>
      </c>
      <c r="AT6" s="872"/>
      <c r="AU6" s="139" t="s">
        <v>172</v>
      </c>
      <c r="AV6" s="18" t="s">
        <v>122</v>
      </c>
      <c r="AW6" s="67">
        <v>2.91</v>
      </c>
      <c r="AX6" s="511">
        <v>263</v>
      </c>
      <c r="AY6" s="67">
        <v>78</v>
      </c>
      <c r="AZ6" s="67"/>
      <c r="BA6" s="67">
        <v>1.02</v>
      </c>
      <c r="BB6" s="67">
        <v>7.33</v>
      </c>
      <c r="BC6" s="67">
        <v>3.5</v>
      </c>
      <c r="BD6" s="872" t="s">
        <v>121</v>
      </c>
      <c r="BE6" s="872"/>
      <c r="BF6" s="139" t="s">
        <v>172</v>
      </c>
      <c r="BG6" s="18" t="s">
        <v>122</v>
      </c>
      <c r="BH6" s="346">
        <v>1.32</v>
      </c>
      <c r="BI6" s="347">
        <v>98</v>
      </c>
      <c r="BJ6" s="348">
        <v>18.2</v>
      </c>
      <c r="BK6" s="346"/>
      <c r="BL6" s="346">
        <v>0.02</v>
      </c>
      <c r="BM6" s="347">
        <v>68</v>
      </c>
      <c r="BN6" s="346">
        <v>6.99</v>
      </c>
      <c r="BO6" s="872" t="s">
        <v>121</v>
      </c>
      <c r="BP6" s="872"/>
      <c r="BQ6" s="139" t="s">
        <v>172</v>
      </c>
      <c r="BR6" s="18" t="s">
        <v>122</v>
      </c>
      <c r="BS6" s="541">
        <v>7.16</v>
      </c>
      <c r="BT6" s="345">
        <v>285</v>
      </c>
      <c r="BU6" s="345">
        <v>64</v>
      </c>
      <c r="BV6" s="362"/>
      <c r="BW6" s="364">
        <v>1.04</v>
      </c>
      <c r="BX6" s="363">
        <v>107</v>
      </c>
      <c r="BY6" s="734">
        <v>35.200000000000003</v>
      </c>
      <c r="BZ6" s="872" t="s">
        <v>121</v>
      </c>
      <c r="CA6" s="872"/>
      <c r="CB6" s="139" t="s">
        <v>172</v>
      </c>
      <c r="CC6" s="309" t="s">
        <v>122</v>
      </c>
      <c r="CD6" s="348">
        <v>1.4</v>
      </c>
      <c r="CE6" s="347">
        <v>47</v>
      </c>
      <c r="CF6" s="348">
        <v>7.9</v>
      </c>
      <c r="CG6" s="346"/>
      <c r="CH6" s="347">
        <v>2</v>
      </c>
      <c r="CI6" s="347">
        <v>112</v>
      </c>
      <c r="CJ6" s="348">
        <v>15.5</v>
      </c>
    </row>
    <row r="7" spans="1:88" ht="21" customHeight="1" x14ac:dyDescent="0.25">
      <c r="A7" s="873" t="s">
        <v>173</v>
      </c>
      <c r="B7" s="873"/>
      <c r="C7" s="140" t="s">
        <v>174</v>
      </c>
      <c r="D7" s="18" t="s">
        <v>122</v>
      </c>
      <c r="E7" s="434">
        <v>174</v>
      </c>
      <c r="F7" s="434">
        <v>265</v>
      </c>
      <c r="G7" s="434">
        <v>198</v>
      </c>
      <c r="H7" s="219"/>
      <c r="I7" s="67">
        <v>172</v>
      </c>
      <c r="J7" s="67">
        <v>263</v>
      </c>
      <c r="K7" s="434">
        <v>197</v>
      </c>
      <c r="L7" s="873" t="s">
        <v>173</v>
      </c>
      <c r="M7" s="873"/>
      <c r="N7" s="140" t="s">
        <v>174</v>
      </c>
      <c r="O7" s="18" t="s">
        <v>122</v>
      </c>
      <c r="P7" s="140">
        <v>242</v>
      </c>
      <c r="Q7" s="345">
        <v>1420</v>
      </c>
      <c r="R7" s="140">
        <v>286</v>
      </c>
      <c r="S7" s="140"/>
      <c r="T7" s="140">
        <v>246</v>
      </c>
      <c r="U7" s="430">
        <v>1460</v>
      </c>
      <c r="V7" s="140">
        <v>284</v>
      </c>
      <c r="W7" s="873" t="s">
        <v>173</v>
      </c>
      <c r="X7" s="873"/>
      <c r="Y7" s="140" t="s">
        <v>174</v>
      </c>
      <c r="Z7" s="18" t="s">
        <v>122</v>
      </c>
      <c r="AA7" s="140">
        <v>208</v>
      </c>
      <c r="AB7" s="140">
        <v>1154</v>
      </c>
      <c r="AC7" s="140">
        <v>352</v>
      </c>
      <c r="AD7" s="140"/>
      <c r="AE7" s="140">
        <v>210</v>
      </c>
      <c r="AF7" s="345">
        <v>1250</v>
      </c>
      <c r="AG7" s="140">
        <v>343</v>
      </c>
      <c r="AH7" s="873" t="s">
        <v>173</v>
      </c>
      <c r="AI7" s="873"/>
      <c r="AJ7" s="140" t="s">
        <v>174</v>
      </c>
      <c r="AK7" s="18" t="s">
        <v>122</v>
      </c>
      <c r="AL7" s="67">
        <v>252</v>
      </c>
      <c r="AM7" s="67">
        <v>496</v>
      </c>
      <c r="AN7" s="67">
        <v>375</v>
      </c>
      <c r="AO7" s="67"/>
      <c r="AP7" s="67">
        <v>248</v>
      </c>
      <c r="AQ7" s="67">
        <v>496</v>
      </c>
      <c r="AR7" s="67">
        <v>371</v>
      </c>
      <c r="AS7" s="873" t="s">
        <v>173</v>
      </c>
      <c r="AT7" s="873"/>
      <c r="AU7" s="140" t="s">
        <v>174</v>
      </c>
      <c r="AV7" s="18" t="s">
        <v>122</v>
      </c>
      <c r="AW7" s="67">
        <v>168</v>
      </c>
      <c r="AX7" s="67">
        <v>266</v>
      </c>
      <c r="AY7" s="67">
        <v>212</v>
      </c>
      <c r="AZ7" s="67"/>
      <c r="BA7" s="67">
        <v>174</v>
      </c>
      <c r="BB7" s="67">
        <v>269</v>
      </c>
      <c r="BC7" s="67">
        <v>219</v>
      </c>
      <c r="BD7" s="873" t="s">
        <v>173</v>
      </c>
      <c r="BE7" s="873"/>
      <c r="BF7" s="140" t="s">
        <v>174</v>
      </c>
      <c r="BG7" s="18" t="s">
        <v>122</v>
      </c>
      <c r="BH7" s="345">
        <v>280</v>
      </c>
      <c r="BI7" s="345">
        <v>1176</v>
      </c>
      <c r="BJ7" s="345">
        <v>409</v>
      </c>
      <c r="BK7" s="345"/>
      <c r="BL7" s="345">
        <v>275</v>
      </c>
      <c r="BM7" s="345">
        <v>1190</v>
      </c>
      <c r="BN7" s="345">
        <v>394</v>
      </c>
      <c r="BO7" s="873" t="s">
        <v>173</v>
      </c>
      <c r="BP7" s="873"/>
      <c r="BQ7" s="140" t="s">
        <v>174</v>
      </c>
      <c r="BR7" s="18" t="s">
        <v>122</v>
      </c>
      <c r="BS7" s="345">
        <v>222</v>
      </c>
      <c r="BT7" s="345">
        <v>2896</v>
      </c>
      <c r="BU7" s="345">
        <v>373</v>
      </c>
      <c r="BV7" s="365"/>
      <c r="BW7" s="345">
        <v>226</v>
      </c>
      <c r="BX7" s="345">
        <v>2960</v>
      </c>
      <c r="BY7" s="345">
        <v>371</v>
      </c>
      <c r="BZ7" s="873" t="s">
        <v>173</v>
      </c>
      <c r="CA7" s="873"/>
      <c r="CB7" s="140" t="s">
        <v>174</v>
      </c>
      <c r="CC7" s="18" t="s">
        <v>122</v>
      </c>
      <c r="CD7" s="345">
        <v>297</v>
      </c>
      <c r="CE7" s="345">
        <v>2572</v>
      </c>
      <c r="CF7" s="345">
        <v>832</v>
      </c>
      <c r="CG7" s="345"/>
      <c r="CH7" s="345">
        <v>296</v>
      </c>
      <c r="CI7" s="345">
        <v>2560</v>
      </c>
      <c r="CJ7" s="345">
        <v>845</v>
      </c>
    </row>
    <row r="8" spans="1:88" ht="21" customHeight="1" x14ac:dyDescent="0.25">
      <c r="A8" s="873" t="s">
        <v>124</v>
      </c>
      <c r="B8" s="873"/>
      <c r="C8" s="140" t="s">
        <v>175</v>
      </c>
      <c r="D8" s="18" t="s">
        <v>122</v>
      </c>
      <c r="E8" s="434">
        <v>123</v>
      </c>
      <c r="F8" s="434">
        <v>167</v>
      </c>
      <c r="G8" s="434">
        <v>136</v>
      </c>
      <c r="H8" s="219"/>
      <c r="I8" s="67">
        <v>114</v>
      </c>
      <c r="J8" s="67">
        <v>165</v>
      </c>
      <c r="K8" s="434">
        <v>134</v>
      </c>
      <c r="L8" s="873" t="s">
        <v>124</v>
      </c>
      <c r="M8" s="873"/>
      <c r="N8" s="140" t="s">
        <v>175</v>
      </c>
      <c r="O8" s="18" t="s">
        <v>122</v>
      </c>
      <c r="P8" s="67">
        <v>102</v>
      </c>
      <c r="Q8" s="511">
        <v>298</v>
      </c>
      <c r="R8" s="67">
        <v>127</v>
      </c>
      <c r="S8" s="67"/>
      <c r="T8" s="67">
        <v>104</v>
      </c>
      <c r="U8" s="431">
        <v>304</v>
      </c>
      <c r="V8" s="67">
        <v>129</v>
      </c>
      <c r="W8" s="873" t="s">
        <v>124</v>
      </c>
      <c r="X8" s="873"/>
      <c r="Y8" s="140" t="s">
        <v>175</v>
      </c>
      <c r="Z8" s="18" t="s">
        <v>122</v>
      </c>
      <c r="AA8" s="140">
        <v>79</v>
      </c>
      <c r="AB8" s="140">
        <v>186</v>
      </c>
      <c r="AC8" s="140">
        <v>142</v>
      </c>
      <c r="AD8" s="140"/>
      <c r="AE8" s="140">
        <v>81</v>
      </c>
      <c r="AF8" s="140">
        <v>184</v>
      </c>
      <c r="AG8" s="140">
        <v>140</v>
      </c>
      <c r="AH8" s="873" t="s">
        <v>124</v>
      </c>
      <c r="AI8" s="873"/>
      <c r="AJ8" s="140" t="s">
        <v>175</v>
      </c>
      <c r="AK8" s="18" t="s">
        <v>122</v>
      </c>
      <c r="AL8" s="67">
        <v>90</v>
      </c>
      <c r="AM8" s="67">
        <v>164</v>
      </c>
      <c r="AN8" s="67">
        <v>120</v>
      </c>
      <c r="AO8" s="67"/>
      <c r="AP8" s="67">
        <v>88</v>
      </c>
      <c r="AQ8" s="67">
        <v>160</v>
      </c>
      <c r="AR8" s="67">
        <v>118</v>
      </c>
      <c r="AS8" s="873" t="s">
        <v>124</v>
      </c>
      <c r="AT8" s="873"/>
      <c r="AU8" s="140" t="s">
        <v>175</v>
      </c>
      <c r="AV8" s="18" t="s">
        <v>122</v>
      </c>
      <c r="AW8" s="67">
        <v>121</v>
      </c>
      <c r="AX8" s="67">
        <v>170</v>
      </c>
      <c r="AY8" s="67">
        <v>146</v>
      </c>
      <c r="AZ8" s="67"/>
      <c r="BA8" s="67">
        <v>124</v>
      </c>
      <c r="BB8" s="67">
        <v>174</v>
      </c>
      <c r="BC8" s="67">
        <v>150</v>
      </c>
      <c r="BD8" s="873" t="s">
        <v>124</v>
      </c>
      <c r="BE8" s="873"/>
      <c r="BF8" s="140" t="s">
        <v>175</v>
      </c>
      <c r="BG8" s="18" t="s">
        <v>122</v>
      </c>
      <c r="BH8" s="67">
        <v>100</v>
      </c>
      <c r="BI8" s="67">
        <v>184</v>
      </c>
      <c r="BJ8" s="67">
        <v>127</v>
      </c>
      <c r="BK8" s="67"/>
      <c r="BL8" s="67">
        <v>100</v>
      </c>
      <c r="BM8" s="67">
        <v>172</v>
      </c>
      <c r="BN8" s="67">
        <v>128</v>
      </c>
      <c r="BO8" s="873" t="s">
        <v>124</v>
      </c>
      <c r="BP8" s="873"/>
      <c r="BQ8" s="140" t="s">
        <v>175</v>
      </c>
      <c r="BR8" s="18" t="s">
        <v>122</v>
      </c>
      <c r="BS8" s="140">
        <v>110</v>
      </c>
      <c r="BT8" s="140">
        <v>260</v>
      </c>
      <c r="BU8" s="140">
        <v>158</v>
      </c>
      <c r="BV8" s="140"/>
      <c r="BW8" s="140">
        <v>128</v>
      </c>
      <c r="BX8" s="140">
        <v>230</v>
      </c>
      <c r="BY8" s="140">
        <v>151</v>
      </c>
      <c r="BZ8" s="873" t="s">
        <v>124</v>
      </c>
      <c r="CA8" s="873"/>
      <c r="CB8" s="140" t="s">
        <v>175</v>
      </c>
      <c r="CC8" s="18" t="s">
        <v>122</v>
      </c>
      <c r="CD8" s="140">
        <v>100</v>
      </c>
      <c r="CE8" s="140">
        <v>240</v>
      </c>
      <c r="CF8" s="140">
        <v>140</v>
      </c>
      <c r="CG8" s="140"/>
      <c r="CH8" s="352">
        <v>100</v>
      </c>
      <c r="CI8" s="352">
        <v>242</v>
      </c>
      <c r="CJ8" s="352">
        <v>145</v>
      </c>
    </row>
    <row r="9" spans="1:88" ht="21" customHeight="1" x14ac:dyDescent="0.25">
      <c r="A9" s="874" t="s">
        <v>176</v>
      </c>
      <c r="B9" s="874"/>
      <c r="C9" s="140" t="s">
        <v>177</v>
      </c>
      <c r="D9" s="18" t="s">
        <v>122</v>
      </c>
      <c r="E9" s="434">
        <v>216</v>
      </c>
      <c r="F9" s="434">
        <v>408</v>
      </c>
      <c r="G9" s="434">
        <v>276</v>
      </c>
      <c r="H9" s="219"/>
      <c r="I9" s="67">
        <v>212</v>
      </c>
      <c r="J9" s="67">
        <v>494</v>
      </c>
      <c r="K9" s="434">
        <v>274</v>
      </c>
      <c r="L9" s="874" t="s">
        <v>176</v>
      </c>
      <c r="M9" s="874"/>
      <c r="N9" s="140" t="s">
        <v>177</v>
      </c>
      <c r="O9" s="18" t="s">
        <v>122</v>
      </c>
      <c r="P9" s="67">
        <v>258</v>
      </c>
      <c r="Q9" s="345">
        <v>2548</v>
      </c>
      <c r="R9" s="67">
        <v>446</v>
      </c>
      <c r="S9" s="67"/>
      <c r="T9" s="67">
        <v>312</v>
      </c>
      <c r="U9" s="345">
        <v>2749</v>
      </c>
      <c r="V9" s="67">
        <v>945</v>
      </c>
      <c r="W9" s="874" t="s">
        <v>176</v>
      </c>
      <c r="X9" s="874"/>
      <c r="Y9" s="140" t="s">
        <v>177</v>
      </c>
      <c r="Z9" s="18" t="s">
        <v>122</v>
      </c>
      <c r="AA9" s="140">
        <v>300</v>
      </c>
      <c r="AB9" s="345">
        <v>2030</v>
      </c>
      <c r="AC9" s="345">
        <v>565</v>
      </c>
      <c r="AD9" s="345"/>
      <c r="AE9" s="345">
        <v>250</v>
      </c>
      <c r="AF9" s="345">
        <v>2128</v>
      </c>
      <c r="AG9" s="345">
        <v>555</v>
      </c>
      <c r="AH9" s="874" t="s">
        <v>176</v>
      </c>
      <c r="AI9" s="874"/>
      <c r="AJ9" s="140" t="s">
        <v>177</v>
      </c>
      <c r="AK9" s="18" t="s">
        <v>122</v>
      </c>
      <c r="AL9" s="140">
        <v>470</v>
      </c>
      <c r="AM9" s="345">
        <v>962</v>
      </c>
      <c r="AN9" s="345">
        <v>647</v>
      </c>
      <c r="AO9" s="345"/>
      <c r="AP9" s="345">
        <v>472</v>
      </c>
      <c r="AQ9" s="345">
        <v>966</v>
      </c>
      <c r="AR9" s="345">
        <v>648</v>
      </c>
      <c r="AS9" s="874" t="s">
        <v>176</v>
      </c>
      <c r="AT9" s="874"/>
      <c r="AU9" s="140" t="s">
        <v>177</v>
      </c>
      <c r="AV9" s="18" t="s">
        <v>122</v>
      </c>
      <c r="AW9" s="67">
        <v>212</v>
      </c>
      <c r="AX9" s="67">
        <v>348</v>
      </c>
      <c r="AY9" s="67">
        <v>277</v>
      </c>
      <c r="AZ9" s="67"/>
      <c r="BA9" s="67">
        <v>218</v>
      </c>
      <c r="BB9" s="67">
        <v>368</v>
      </c>
      <c r="BC9" s="67">
        <v>258</v>
      </c>
      <c r="BD9" s="874" t="s">
        <v>176</v>
      </c>
      <c r="BE9" s="874"/>
      <c r="BF9" s="140" t="s">
        <v>177</v>
      </c>
      <c r="BG9" s="18" t="s">
        <v>122</v>
      </c>
      <c r="BH9" s="140">
        <v>520</v>
      </c>
      <c r="BI9" s="345">
        <v>2528</v>
      </c>
      <c r="BJ9" s="345">
        <v>746</v>
      </c>
      <c r="BK9" s="345"/>
      <c r="BL9" s="345">
        <v>502</v>
      </c>
      <c r="BM9" s="345">
        <v>2502</v>
      </c>
      <c r="BN9" s="345">
        <v>750</v>
      </c>
      <c r="BO9" s="874" t="s">
        <v>176</v>
      </c>
      <c r="BP9" s="874"/>
      <c r="BQ9" s="140" t="s">
        <v>177</v>
      </c>
      <c r="BR9" s="18" t="s">
        <v>122</v>
      </c>
      <c r="BS9" s="366">
        <v>400</v>
      </c>
      <c r="BT9" s="366">
        <v>4500</v>
      </c>
      <c r="BU9" s="366">
        <v>638</v>
      </c>
      <c r="BV9" s="367"/>
      <c r="BW9" s="366">
        <v>412</v>
      </c>
      <c r="BX9" s="366">
        <v>4890</v>
      </c>
      <c r="BY9" s="366">
        <v>638</v>
      </c>
      <c r="BZ9" s="874" t="s">
        <v>176</v>
      </c>
      <c r="CA9" s="874"/>
      <c r="CB9" s="140" t="s">
        <v>177</v>
      </c>
      <c r="CC9" s="18" t="s">
        <v>122</v>
      </c>
      <c r="CD9" s="345">
        <v>782</v>
      </c>
      <c r="CE9" s="345">
        <v>8492</v>
      </c>
      <c r="CF9" s="345">
        <v>1936</v>
      </c>
      <c r="CG9" s="345"/>
      <c r="CH9" s="345">
        <v>478</v>
      </c>
      <c r="CI9" s="345">
        <v>8380</v>
      </c>
      <c r="CJ9" s="345">
        <v>1970</v>
      </c>
    </row>
    <row r="10" spans="1:88" ht="21" customHeight="1" x14ac:dyDescent="0.25">
      <c r="A10" s="873" t="s">
        <v>178</v>
      </c>
      <c r="B10" s="873"/>
      <c r="C10" s="140" t="s">
        <v>123</v>
      </c>
      <c r="D10" s="195"/>
      <c r="E10" s="434">
        <v>6.9</v>
      </c>
      <c r="F10" s="434">
        <v>8.1999999999999993</v>
      </c>
      <c r="G10" s="434">
        <v>7.6</v>
      </c>
      <c r="H10" s="219"/>
      <c r="I10" s="67">
        <v>6.7</v>
      </c>
      <c r="J10" s="67">
        <v>8.3000000000000007</v>
      </c>
      <c r="K10" s="434">
        <v>7.5</v>
      </c>
      <c r="L10" s="873" t="s">
        <v>178</v>
      </c>
      <c r="M10" s="873"/>
      <c r="N10" s="140" t="s">
        <v>123</v>
      </c>
      <c r="O10" s="195"/>
      <c r="P10" s="308">
        <v>7</v>
      </c>
      <c r="Q10" s="431">
        <v>8.5</v>
      </c>
      <c r="R10" s="239">
        <v>7.8</v>
      </c>
      <c r="S10" s="155"/>
      <c r="T10" s="239">
        <v>6.8</v>
      </c>
      <c r="U10" s="431">
        <v>8.5</v>
      </c>
      <c r="V10" s="239">
        <v>7.8</v>
      </c>
      <c r="W10" s="873" t="s">
        <v>178</v>
      </c>
      <c r="X10" s="873"/>
      <c r="Y10" s="140" t="s">
        <v>123</v>
      </c>
      <c r="Z10" s="195"/>
      <c r="AA10" s="368">
        <v>7.29</v>
      </c>
      <c r="AB10" s="367">
        <v>8.4</v>
      </c>
      <c r="AC10" s="367">
        <v>8.1</v>
      </c>
      <c r="AD10" s="368"/>
      <c r="AE10" s="368">
        <v>6.53</v>
      </c>
      <c r="AF10" s="368">
        <v>8.4600000000000009</v>
      </c>
      <c r="AG10" s="367">
        <v>7.8</v>
      </c>
      <c r="AH10" s="873" t="s">
        <v>178</v>
      </c>
      <c r="AI10" s="873"/>
      <c r="AJ10" s="140" t="s">
        <v>123</v>
      </c>
      <c r="AK10" s="195"/>
      <c r="AL10" s="67">
        <v>6.6</v>
      </c>
      <c r="AM10" s="239">
        <v>8.5</v>
      </c>
      <c r="AN10" s="239">
        <v>8.1</v>
      </c>
      <c r="AO10" s="155"/>
      <c r="AP10" s="239">
        <v>6.5</v>
      </c>
      <c r="AQ10" s="239">
        <v>8.5</v>
      </c>
      <c r="AR10" s="239">
        <v>7.9</v>
      </c>
      <c r="AS10" s="873" t="s">
        <v>178</v>
      </c>
      <c r="AT10" s="873"/>
      <c r="AU10" s="140" t="s">
        <v>123</v>
      </c>
      <c r="AV10" s="195"/>
      <c r="AW10" s="67">
        <v>7.3</v>
      </c>
      <c r="AX10" s="67">
        <v>8.2799999999999994</v>
      </c>
      <c r="AY10" s="67">
        <v>7.8</v>
      </c>
      <c r="AZ10" s="67"/>
      <c r="BA10" s="67">
        <v>6.98</v>
      </c>
      <c r="BB10" s="67">
        <v>8.3000000000000007</v>
      </c>
      <c r="BC10" s="67">
        <v>7.97</v>
      </c>
      <c r="BD10" s="873" t="s">
        <v>178</v>
      </c>
      <c r="BE10" s="873"/>
      <c r="BF10" s="140" t="s">
        <v>123</v>
      </c>
      <c r="BG10" s="195"/>
      <c r="BH10" s="67">
        <v>6.2</v>
      </c>
      <c r="BI10" s="67">
        <v>8.8000000000000007</v>
      </c>
      <c r="BJ10" s="67">
        <v>7.9</v>
      </c>
      <c r="BK10" s="67"/>
      <c r="BL10" s="67">
        <v>6.7</v>
      </c>
      <c r="BM10" s="67">
        <v>8.6999999999999993</v>
      </c>
      <c r="BN10" s="67">
        <v>7.8</v>
      </c>
      <c r="BO10" s="873" t="s">
        <v>178</v>
      </c>
      <c r="BP10" s="873"/>
      <c r="BQ10" s="140" t="s">
        <v>123</v>
      </c>
      <c r="BR10" s="195"/>
      <c r="BS10" s="371">
        <v>7</v>
      </c>
      <c r="BT10" s="369">
        <v>8.9499999999999993</v>
      </c>
      <c r="BU10" s="367">
        <v>7.9</v>
      </c>
      <c r="BV10" s="368"/>
      <c r="BW10" s="369">
        <v>6.73</v>
      </c>
      <c r="BX10" s="368">
        <v>8.51</v>
      </c>
      <c r="BY10" s="367">
        <v>7.8</v>
      </c>
      <c r="BZ10" s="873" t="s">
        <v>178</v>
      </c>
      <c r="CA10" s="873"/>
      <c r="CB10" s="140" t="s">
        <v>123</v>
      </c>
      <c r="CC10" s="195"/>
      <c r="CD10" s="367">
        <v>6.7</v>
      </c>
      <c r="CE10" s="367">
        <v>8.4</v>
      </c>
      <c r="CF10" s="367">
        <v>7.4</v>
      </c>
      <c r="CG10" s="368"/>
      <c r="CH10" s="371">
        <v>7</v>
      </c>
      <c r="CI10" s="368">
        <v>8.36</v>
      </c>
      <c r="CJ10" s="367">
        <v>7.6</v>
      </c>
    </row>
    <row r="11" spans="1:88" ht="21" customHeight="1" x14ac:dyDescent="0.25">
      <c r="A11" s="873" t="s">
        <v>179</v>
      </c>
      <c r="B11" s="873"/>
      <c r="C11" s="140" t="s">
        <v>180</v>
      </c>
      <c r="D11" s="18" t="s">
        <v>122</v>
      </c>
      <c r="E11" s="434">
        <v>12</v>
      </c>
      <c r="F11" s="434">
        <v>24</v>
      </c>
      <c r="G11" s="434">
        <v>17</v>
      </c>
      <c r="H11" s="219"/>
      <c r="I11" s="67">
        <v>14</v>
      </c>
      <c r="J11" s="67">
        <v>28</v>
      </c>
      <c r="K11" s="434">
        <v>19</v>
      </c>
      <c r="L11" s="873" t="s">
        <v>179</v>
      </c>
      <c r="M11" s="873"/>
      <c r="N11" s="140" t="s">
        <v>180</v>
      </c>
      <c r="O11" s="18" t="s">
        <v>122</v>
      </c>
      <c r="P11" s="67">
        <v>32</v>
      </c>
      <c r="Q11" s="431">
        <v>280</v>
      </c>
      <c r="R11" s="67">
        <v>36</v>
      </c>
      <c r="S11" s="67"/>
      <c r="T11" s="67">
        <v>23</v>
      </c>
      <c r="U11" s="431">
        <v>292</v>
      </c>
      <c r="V11" s="67">
        <v>47</v>
      </c>
      <c r="W11" s="873" t="s">
        <v>179</v>
      </c>
      <c r="X11" s="873"/>
      <c r="Y11" s="140" t="s">
        <v>180</v>
      </c>
      <c r="Z11" s="18" t="s">
        <v>122</v>
      </c>
      <c r="AA11" s="371">
        <v>27</v>
      </c>
      <c r="AB11" s="371">
        <v>383</v>
      </c>
      <c r="AC11" s="371">
        <v>77</v>
      </c>
      <c r="AD11" s="368"/>
      <c r="AE11" s="371">
        <v>29</v>
      </c>
      <c r="AF11" s="371">
        <v>417</v>
      </c>
      <c r="AG11" s="371">
        <v>78</v>
      </c>
      <c r="AH11" s="873" t="s">
        <v>179</v>
      </c>
      <c r="AI11" s="873"/>
      <c r="AJ11" s="140" t="s">
        <v>180</v>
      </c>
      <c r="AK11" s="18" t="s">
        <v>122</v>
      </c>
      <c r="AL11" s="67">
        <v>56</v>
      </c>
      <c r="AM11" s="67">
        <v>210</v>
      </c>
      <c r="AN11" s="67">
        <v>97</v>
      </c>
      <c r="AO11" s="67"/>
      <c r="AP11" s="67">
        <v>56</v>
      </c>
      <c r="AQ11" s="67">
        <v>230</v>
      </c>
      <c r="AR11" s="67">
        <v>99</v>
      </c>
      <c r="AS11" s="873" t="s">
        <v>179</v>
      </c>
      <c r="AT11" s="873"/>
      <c r="AU11" s="140" t="s">
        <v>180</v>
      </c>
      <c r="AV11" s="18" t="s">
        <v>122</v>
      </c>
      <c r="AW11" s="67">
        <v>15</v>
      </c>
      <c r="AX11" s="67">
        <v>26</v>
      </c>
      <c r="AY11" s="67">
        <v>19.5</v>
      </c>
      <c r="AZ11" s="67"/>
      <c r="BA11" s="67">
        <v>16</v>
      </c>
      <c r="BB11" s="67">
        <v>27</v>
      </c>
      <c r="BC11" s="67">
        <v>21</v>
      </c>
      <c r="BD11" s="873" t="s">
        <v>179</v>
      </c>
      <c r="BE11" s="873"/>
      <c r="BF11" s="140" t="s">
        <v>180</v>
      </c>
      <c r="BG11" s="18" t="s">
        <v>122</v>
      </c>
      <c r="BH11" s="67">
        <v>78</v>
      </c>
      <c r="BI11" s="67">
        <v>318</v>
      </c>
      <c r="BJ11" s="67">
        <v>121</v>
      </c>
      <c r="BK11" s="67"/>
      <c r="BL11" s="67">
        <v>80</v>
      </c>
      <c r="BM11" s="67">
        <v>322</v>
      </c>
      <c r="BN11" s="67">
        <v>120</v>
      </c>
      <c r="BO11" s="873" t="s">
        <v>179</v>
      </c>
      <c r="BP11" s="873"/>
      <c r="BQ11" s="140" t="s">
        <v>180</v>
      </c>
      <c r="BR11" s="18" t="s">
        <v>122</v>
      </c>
      <c r="BS11" s="345">
        <v>43</v>
      </c>
      <c r="BT11" s="345">
        <v>750</v>
      </c>
      <c r="BU11" s="345">
        <v>109</v>
      </c>
      <c r="BV11" s="370"/>
      <c r="BW11" s="345">
        <v>46</v>
      </c>
      <c r="BX11" s="345">
        <v>765</v>
      </c>
      <c r="BY11" s="345">
        <v>109</v>
      </c>
      <c r="BZ11" s="873" t="s">
        <v>179</v>
      </c>
      <c r="CA11" s="873"/>
      <c r="CB11" s="140" t="s">
        <v>180</v>
      </c>
      <c r="CC11" s="18" t="s">
        <v>122</v>
      </c>
      <c r="CD11" s="345">
        <v>97</v>
      </c>
      <c r="CE11" s="345">
        <v>3050</v>
      </c>
      <c r="CF11" s="345">
        <v>539</v>
      </c>
      <c r="CG11" s="345"/>
      <c r="CH11" s="345">
        <v>100</v>
      </c>
      <c r="CI11" s="345">
        <v>3000</v>
      </c>
      <c r="CJ11" s="345">
        <v>547</v>
      </c>
    </row>
    <row r="12" spans="1:88" ht="21" customHeight="1" x14ac:dyDescent="0.25">
      <c r="A12" s="873" t="s">
        <v>181</v>
      </c>
      <c r="B12" s="873"/>
      <c r="C12" s="140" t="s">
        <v>182</v>
      </c>
      <c r="D12" s="18" t="s">
        <v>122</v>
      </c>
      <c r="E12" s="434">
        <v>18</v>
      </c>
      <c r="F12" s="434">
        <v>78</v>
      </c>
      <c r="G12" s="434">
        <v>53</v>
      </c>
      <c r="H12" s="219"/>
      <c r="I12" s="67">
        <v>41</v>
      </c>
      <c r="J12" s="67">
        <v>74</v>
      </c>
      <c r="K12" s="434">
        <v>52</v>
      </c>
      <c r="L12" s="873" t="s">
        <v>181</v>
      </c>
      <c r="M12" s="873"/>
      <c r="N12" s="140" t="s">
        <v>182</v>
      </c>
      <c r="O12" s="18" t="s">
        <v>122</v>
      </c>
      <c r="P12" s="67">
        <v>50</v>
      </c>
      <c r="Q12" s="431">
        <v>432</v>
      </c>
      <c r="R12" s="67">
        <v>71</v>
      </c>
      <c r="S12" s="67"/>
      <c r="T12" s="67">
        <v>50</v>
      </c>
      <c r="U12" s="431">
        <v>452</v>
      </c>
      <c r="V12" s="67">
        <v>72</v>
      </c>
      <c r="W12" s="873" t="s">
        <v>181</v>
      </c>
      <c r="X12" s="873"/>
      <c r="Y12" s="140" t="s">
        <v>182</v>
      </c>
      <c r="Z12" s="18" t="s">
        <v>122</v>
      </c>
      <c r="AA12" s="140">
        <v>50</v>
      </c>
      <c r="AB12" s="140">
        <v>249</v>
      </c>
      <c r="AC12" s="140">
        <v>90</v>
      </c>
      <c r="AD12" s="140"/>
      <c r="AE12" s="140">
        <v>47</v>
      </c>
      <c r="AF12" s="140">
        <v>257</v>
      </c>
      <c r="AG12" s="140">
        <v>88</v>
      </c>
      <c r="AH12" s="873" t="s">
        <v>181</v>
      </c>
      <c r="AI12" s="873"/>
      <c r="AJ12" s="140" t="s">
        <v>182</v>
      </c>
      <c r="AK12" s="18" t="s">
        <v>122</v>
      </c>
      <c r="AL12" s="67">
        <v>65</v>
      </c>
      <c r="AM12" s="67">
        <v>149</v>
      </c>
      <c r="AN12" s="67">
        <v>105</v>
      </c>
      <c r="AO12" s="67"/>
      <c r="AP12" s="67">
        <v>65</v>
      </c>
      <c r="AQ12" s="67">
        <v>149</v>
      </c>
      <c r="AR12" s="67">
        <v>104</v>
      </c>
      <c r="AS12" s="873" t="s">
        <v>181</v>
      </c>
      <c r="AT12" s="873"/>
      <c r="AU12" s="140" t="s">
        <v>182</v>
      </c>
      <c r="AV12" s="18" t="s">
        <v>122</v>
      </c>
      <c r="AW12" s="67">
        <v>45</v>
      </c>
      <c r="AX12" s="67">
        <v>77</v>
      </c>
      <c r="AY12" s="67">
        <v>60</v>
      </c>
      <c r="AZ12" s="67"/>
      <c r="BA12" s="67">
        <v>47</v>
      </c>
      <c r="BB12" s="67">
        <v>77</v>
      </c>
      <c r="BC12" s="67">
        <v>61</v>
      </c>
      <c r="BD12" s="873" t="s">
        <v>181</v>
      </c>
      <c r="BE12" s="873"/>
      <c r="BF12" s="140" t="s">
        <v>182</v>
      </c>
      <c r="BG12" s="18" t="s">
        <v>122</v>
      </c>
      <c r="BH12" s="67">
        <v>60</v>
      </c>
      <c r="BI12" s="67">
        <v>172</v>
      </c>
      <c r="BJ12" s="67">
        <v>102</v>
      </c>
      <c r="BK12" s="67"/>
      <c r="BL12" s="67">
        <v>60</v>
      </c>
      <c r="BM12" s="67">
        <v>168</v>
      </c>
      <c r="BN12" s="67">
        <v>98</v>
      </c>
      <c r="BO12" s="873" t="s">
        <v>181</v>
      </c>
      <c r="BP12" s="873"/>
      <c r="BQ12" s="140" t="s">
        <v>182</v>
      </c>
      <c r="BR12" s="18" t="s">
        <v>122</v>
      </c>
      <c r="BS12" s="345">
        <v>45</v>
      </c>
      <c r="BT12" s="345">
        <v>660</v>
      </c>
      <c r="BU12" s="345">
        <v>80</v>
      </c>
      <c r="BV12" s="140"/>
      <c r="BW12" s="140">
        <v>48</v>
      </c>
      <c r="BX12" s="140">
        <v>636</v>
      </c>
      <c r="BY12" s="140">
        <v>82</v>
      </c>
      <c r="BZ12" s="873" t="s">
        <v>181</v>
      </c>
      <c r="CA12" s="873"/>
      <c r="CB12" s="140" t="s">
        <v>182</v>
      </c>
      <c r="CC12" s="18" t="s">
        <v>122</v>
      </c>
      <c r="CD12" s="373">
        <v>59</v>
      </c>
      <c r="CE12" s="542">
        <v>517</v>
      </c>
      <c r="CF12" s="373">
        <v>172</v>
      </c>
      <c r="CG12" s="140"/>
      <c r="CH12" s="355">
        <v>58</v>
      </c>
      <c r="CI12" s="355">
        <v>521</v>
      </c>
      <c r="CJ12" s="355">
        <v>169</v>
      </c>
    </row>
    <row r="13" spans="1:88" ht="21" customHeight="1" x14ac:dyDescent="0.25">
      <c r="A13" s="873" t="s">
        <v>183</v>
      </c>
      <c r="B13" s="873"/>
      <c r="C13" s="140" t="s">
        <v>184</v>
      </c>
      <c r="D13" s="18" t="s">
        <v>122</v>
      </c>
      <c r="E13" s="434">
        <v>10</v>
      </c>
      <c r="F13" s="434">
        <v>22</v>
      </c>
      <c r="G13" s="434">
        <v>16</v>
      </c>
      <c r="H13" s="219"/>
      <c r="I13" s="67">
        <v>12</v>
      </c>
      <c r="J13" s="67">
        <v>23</v>
      </c>
      <c r="K13" s="434">
        <v>16</v>
      </c>
      <c r="L13" s="873" t="s">
        <v>183</v>
      </c>
      <c r="M13" s="873"/>
      <c r="N13" s="140" t="s">
        <v>184</v>
      </c>
      <c r="O13" s="18" t="s">
        <v>122</v>
      </c>
      <c r="P13" s="67">
        <v>19</v>
      </c>
      <c r="Q13" s="431">
        <v>119</v>
      </c>
      <c r="R13" s="67">
        <v>26</v>
      </c>
      <c r="S13" s="67"/>
      <c r="T13" s="67">
        <v>18</v>
      </c>
      <c r="U13" s="431">
        <v>220</v>
      </c>
      <c r="V13" s="67">
        <v>25</v>
      </c>
      <c r="W13" s="873" t="s">
        <v>183</v>
      </c>
      <c r="X13" s="873"/>
      <c r="Y13" s="140" t="s">
        <v>184</v>
      </c>
      <c r="Z13" s="18" t="s">
        <v>122</v>
      </c>
      <c r="AA13" s="140">
        <v>17</v>
      </c>
      <c r="AB13" s="140">
        <v>130</v>
      </c>
      <c r="AC13" s="140">
        <v>31</v>
      </c>
      <c r="AD13" s="140"/>
      <c r="AE13" s="140">
        <v>16</v>
      </c>
      <c r="AF13" s="140">
        <v>148</v>
      </c>
      <c r="AG13" s="140">
        <v>33</v>
      </c>
      <c r="AH13" s="873" t="s">
        <v>183</v>
      </c>
      <c r="AI13" s="873"/>
      <c r="AJ13" s="140" t="s">
        <v>184</v>
      </c>
      <c r="AK13" s="18" t="s">
        <v>122</v>
      </c>
      <c r="AL13" s="67">
        <v>15</v>
      </c>
      <c r="AM13" s="67">
        <v>44</v>
      </c>
      <c r="AN13" s="67">
        <v>27</v>
      </c>
      <c r="AO13" s="67"/>
      <c r="AP13" s="67">
        <v>14</v>
      </c>
      <c r="AQ13" s="67">
        <v>44</v>
      </c>
      <c r="AR13" s="67">
        <v>27</v>
      </c>
      <c r="AS13" s="873" t="s">
        <v>183</v>
      </c>
      <c r="AT13" s="873"/>
      <c r="AU13" s="140" t="s">
        <v>184</v>
      </c>
      <c r="AV13" s="18" t="s">
        <v>122</v>
      </c>
      <c r="AW13" s="67">
        <v>7</v>
      </c>
      <c r="AX13" s="67">
        <v>23</v>
      </c>
      <c r="AY13" s="67">
        <v>15</v>
      </c>
      <c r="AZ13" s="67"/>
      <c r="BA13" s="67">
        <v>8</v>
      </c>
      <c r="BB13" s="67">
        <v>25</v>
      </c>
      <c r="BC13" s="67">
        <v>16</v>
      </c>
      <c r="BD13" s="873" t="s">
        <v>183</v>
      </c>
      <c r="BE13" s="873"/>
      <c r="BF13" s="140" t="s">
        <v>184</v>
      </c>
      <c r="BG13" s="18" t="s">
        <v>122</v>
      </c>
      <c r="BH13" s="67">
        <v>13</v>
      </c>
      <c r="BI13" s="67">
        <v>195</v>
      </c>
      <c r="BJ13" s="67">
        <v>38</v>
      </c>
      <c r="BK13" s="67"/>
      <c r="BL13" s="67">
        <v>8</v>
      </c>
      <c r="BM13" s="67">
        <v>200</v>
      </c>
      <c r="BN13" s="67">
        <v>37</v>
      </c>
      <c r="BO13" s="873" t="s">
        <v>183</v>
      </c>
      <c r="BP13" s="873"/>
      <c r="BQ13" s="140" t="s">
        <v>184</v>
      </c>
      <c r="BR13" s="18" t="s">
        <v>122</v>
      </c>
      <c r="BS13" s="345">
        <v>21</v>
      </c>
      <c r="BT13" s="345">
        <v>300</v>
      </c>
      <c r="BU13" s="345">
        <v>40</v>
      </c>
      <c r="BV13" s="140"/>
      <c r="BW13" s="140">
        <v>20</v>
      </c>
      <c r="BX13" s="140">
        <v>317</v>
      </c>
      <c r="BY13" s="140">
        <v>41</v>
      </c>
      <c r="BZ13" s="873" t="s">
        <v>183</v>
      </c>
      <c r="CA13" s="873"/>
      <c r="CB13" s="140" t="s">
        <v>184</v>
      </c>
      <c r="CC13" s="18" t="s">
        <v>122</v>
      </c>
      <c r="CD13" s="140">
        <v>36</v>
      </c>
      <c r="CE13" s="140">
        <v>309</v>
      </c>
      <c r="CF13" s="140">
        <v>101</v>
      </c>
      <c r="CG13" s="140"/>
      <c r="CH13" s="352">
        <v>35</v>
      </c>
      <c r="CI13" s="352">
        <v>310</v>
      </c>
      <c r="CJ13" s="352">
        <v>105</v>
      </c>
    </row>
    <row r="14" spans="1:88" ht="21" customHeight="1" x14ac:dyDescent="0.25">
      <c r="A14" s="873" t="s">
        <v>185</v>
      </c>
      <c r="B14" s="873"/>
      <c r="C14" s="141" t="s">
        <v>186</v>
      </c>
      <c r="D14" s="142" t="s">
        <v>135</v>
      </c>
      <c r="E14" s="434">
        <v>338</v>
      </c>
      <c r="F14" s="434">
        <v>640</v>
      </c>
      <c r="G14" s="434">
        <v>438</v>
      </c>
      <c r="H14" s="219"/>
      <c r="I14" s="67">
        <v>180</v>
      </c>
      <c r="J14" s="67">
        <v>790</v>
      </c>
      <c r="K14" s="434">
        <v>432</v>
      </c>
      <c r="L14" s="873" t="s">
        <v>185</v>
      </c>
      <c r="M14" s="873"/>
      <c r="N14" s="141" t="s">
        <v>186</v>
      </c>
      <c r="O14" s="142" t="s">
        <v>135</v>
      </c>
      <c r="P14" s="141">
        <v>488</v>
      </c>
      <c r="Q14" s="344">
        <v>3640</v>
      </c>
      <c r="R14" s="141">
        <v>691</v>
      </c>
      <c r="S14" s="141"/>
      <c r="T14" s="141">
        <v>472</v>
      </c>
      <c r="U14" s="345">
        <v>3920</v>
      </c>
      <c r="V14" s="141">
        <v>691</v>
      </c>
      <c r="W14" s="873" t="s">
        <v>185</v>
      </c>
      <c r="X14" s="873"/>
      <c r="Y14" s="141" t="s">
        <v>186</v>
      </c>
      <c r="Z14" s="142" t="s">
        <v>135</v>
      </c>
      <c r="AA14" s="140">
        <v>485</v>
      </c>
      <c r="AB14" s="345">
        <v>3320</v>
      </c>
      <c r="AC14" s="345">
        <v>910</v>
      </c>
      <c r="AD14" s="344"/>
      <c r="AE14" s="344">
        <v>497</v>
      </c>
      <c r="AF14" s="344">
        <v>3480</v>
      </c>
      <c r="AG14" s="344">
        <v>894</v>
      </c>
      <c r="AH14" s="873" t="s">
        <v>185</v>
      </c>
      <c r="AI14" s="873"/>
      <c r="AJ14" s="141" t="s">
        <v>186</v>
      </c>
      <c r="AK14" s="142" t="s">
        <v>135</v>
      </c>
      <c r="AL14" s="344">
        <v>748</v>
      </c>
      <c r="AM14" s="344">
        <v>1461</v>
      </c>
      <c r="AN14" s="344">
        <v>1013</v>
      </c>
      <c r="AO14" s="344"/>
      <c r="AP14" s="344">
        <v>746</v>
      </c>
      <c r="AQ14" s="344">
        <v>1470</v>
      </c>
      <c r="AR14" s="344">
        <v>1016</v>
      </c>
      <c r="AS14" s="873" t="s">
        <v>185</v>
      </c>
      <c r="AT14" s="873"/>
      <c r="AU14" s="141" t="s">
        <v>186</v>
      </c>
      <c r="AV14" s="142" t="s">
        <v>135</v>
      </c>
      <c r="AW14" s="67">
        <v>208</v>
      </c>
      <c r="AX14" s="67">
        <v>564</v>
      </c>
      <c r="AY14" s="67">
        <v>445</v>
      </c>
      <c r="AZ14" s="67"/>
      <c r="BA14" s="67">
        <v>347</v>
      </c>
      <c r="BB14" s="67">
        <v>578</v>
      </c>
      <c r="BC14" s="67">
        <v>459</v>
      </c>
      <c r="BD14" s="873" t="s">
        <v>185</v>
      </c>
      <c r="BE14" s="873"/>
      <c r="BF14" s="141" t="s">
        <v>186</v>
      </c>
      <c r="BG14" s="142" t="s">
        <v>135</v>
      </c>
      <c r="BH14" s="344">
        <v>799</v>
      </c>
      <c r="BI14" s="344">
        <v>3940</v>
      </c>
      <c r="BJ14" s="344">
        <v>1150</v>
      </c>
      <c r="BK14" s="344"/>
      <c r="BL14" s="344">
        <v>782</v>
      </c>
      <c r="BM14" s="344">
        <v>3910</v>
      </c>
      <c r="BN14" s="344">
        <v>1153</v>
      </c>
      <c r="BO14" s="873" t="s">
        <v>185</v>
      </c>
      <c r="BP14" s="873"/>
      <c r="BQ14" s="141" t="s">
        <v>186</v>
      </c>
      <c r="BR14" s="142" t="s">
        <v>135</v>
      </c>
      <c r="BS14" s="344">
        <v>543</v>
      </c>
      <c r="BT14" s="344">
        <v>8340</v>
      </c>
      <c r="BU14" s="344">
        <v>934</v>
      </c>
      <c r="BV14" s="344"/>
      <c r="BW14" s="344">
        <v>551</v>
      </c>
      <c r="BX14" s="344">
        <v>8450</v>
      </c>
      <c r="BY14" s="344">
        <v>945</v>
      </c>
      <c r="BZ14" s="873" t="s">
        <v>185</v>
      </c>
      <c r="CA14" s="873"/>
      <c r="CB14" s="141" t="s">
        <v>186</v>
      </c>
      <c r="CC14" s="142" t="s">
        <v>135</v>
      </c>
      <c r="CD14" s="345">
        <v>787</v>
      </c>
      <c r="CE14" s="345">
        <v>12628</v>
      </c>
      <c r="CF14" s="345">
        <v>3139</v>
      </c>
      <c r="CG14" s="344"/>
      <c r="CH14" s="345">
        <v>793</v>
      </c>
      <c r="CI14" s="345">
        <v>12751</v>
      </c>
      <c r="CJ14" s="345">
        <v>3093</v>
      </c>
    </row>
    <row r="15" spans="1:88" ht="21" customHeight="1" x14ac:dyDescent="0.25">
      <c r="A15" s="870" t="s">
        <v>187</v>
      </c>
      <c r="B15" s="870"/>
      <c r="C15" s="140" t="s">
        <v>188</v>
      </c>
      <c r="D15" s="18" t="s">
        <v>122</v>
      </c>
      <c r="E15" s="434">
        <v>5</v>
      </c>
      <c r="F15" s="434">
        <v>13</v>
      </c>
      <c r="G15" s="434">
        <v>8</v>
      </c>
      <c r="H15" s="219"/>
      <c r="I15" s="67">
        <v>5.4</v>
      </c>
      <c r="J15" s="67">
        <v>14.6</v>
      </c>
      <c r="K15" s="434">
        <v>9</v>
      </c>
      <c r="L15" s="870" t="s">
        <v>187</v>
      </c>
      <c r="M15" s="870"/>
      <c r="N15" s="140" t="s">
        <v>188</v>
      </c>
      <c r="O15" s="18" t="s">
        <v>122</v>
      </c>
      <c r="P15" s="67">
        <v>22</v>
      </c>
      <c r="Q15" s="431">
        <v>232</v>
      </c>
      <c r="R15" s="67">
        <v>36</v>
      </c>
      <c r="S15" s="67"/>
      <c r="T15" s="67">
        <v>20</v>
      </c>
      <c r="U15" s="431">
        <v>340</v>
      </c>
      <c r="V15" s="67">
        <v>36</v>
      </c>
      <c r="W15" s="870" t="s">
        <v>187</v>
      </c>
      <c r="X15" s="870"/>
      <c r="Y15" s="140" t="s">
        <v>188</v>
      </c>
      <c r="Z15" s="18" t="s">
        <v>122</v>
      </c>
      <c r="AA15" s="219" t="s">
        <v>456</v>
      </c>
      <c r="AB15" s="219" t="s">
        <v>456</v>
      </c>
      <c r="AC15" s="219" t="s">
        <v>456</v>
      </c>
      <c r="AD15" s="219"/>
      <c r="AE15" s="219" t="s">
        <v>456</v>
      </c>
      <c r="AF15" s="219" t="s">
        <v>456</v>
      </c>
      <c r="AG15" s="219" t="s">
        <v>456</v>
      </c>
      <c r="AH15" s="870" t="s">
        <v>187</v>
      </c>
      <c r="AI15" s="870"/>
      <c r="AJ15" s="140" t="s">
        <v>188</v>
      </c>
      <c r="AK15" s="18" t="s">
        <v>122</v>
      </c>
      <c r="AL15" s="67">
        <v>30</v>
      </c>
      <c r="AM15" s="67">
        <v>153</v>
      </c>
      <c r="AN15" s="67">
        <v>69</v>
      </c>
      <c r="AO15" s="67"/>
      <c r="AP15" s="67">
        <v>30</v>
      </c>
      <c r="AQ15" s="67">
        <v>151</v>
      </c>
      <c r="AR15" s="67">
        <v>68</v>
      </c>
      <c r="AS15" s="870" t="s">
        <v>187</v>
      </c>
      <c r="AT15" s="870"/>
      <c r="AU15" s="140" t="s">
        <v>188</v>
      </c>
      <c r="AV15" s="18" t="s">
        <v>122</v>
      </c>
      <c r="AW15" s="67">
        <v>7</v>
      </c>
      <c r="AX15" s="67">
        <v>18</v>
      </c>
      <c r="AY15" s="67">
        <v>12</v>
      </c>
      <c r="AZ15" s="67"/>
      <c r="BA15" s="67">
        <v>8</v>
      </c>
      <c r="BB15" s="67">
        <v>19</v>
      </c>
      <c r="BC15" s="67">
        <v>13</v>
      </c>
      <c r="BD15" s="870" t="s">
        <v>187</v>
      </c>
      <c r="BE15" s="870"/>
      <c r="BF15" s="140" t="s">
        <v>188</v>
      </c>
      <c r="BG15" s="18" t="s">
        <v>122</v>
      </c>
      <c r="BH15" s="219" t="s">
        <v>456</v>
      </c>
      <c r="BI15" s="219" t="s">
        <v>456</v>
      </c>
      <c r="BJ15" s="219" t="s">
        <v>456</v>
      </c>
      <c r="BK15" s="219"/>
      <c r="BL15" s="219" t="s">
        <v>456</v>
      </c>
      <c r="BM15" s="219" t="s">
        <v>456</v>
      </c>
      <c r="BN15" s="219" t="s">
        <v>456</v>
      </c>
      <c r="BO15" s="870" t="s">
        <v>187</v>
      </c>
      <c r="BP15" s="870"/>
      <c r="BQ15" s="140" t="s">
        <v>188</v>
      </c>
      <c r="BR15" s="18" t="s">
        <v>122</v>
      </c>
      <c r="BS15" s="140">
        <v>41</v>
      </c>
      <c r="BT15" s="140">
        <v>527</v>
      </c>
      <c r="BU15" s="140">
        <v>74</v>
      </c>
      <c r="BV15" s="140"/>
      <c r="BW15" s="140">
        <v>42</v>
      </c>
      <c r="BX15" s="140">
        <v>568</v>
      </c>
      <c r="BY15" s="140">
        <v>76</v>
      </c>
      <c r="BZ15" s="870" t="s">
        <v>187</v>
      </c>
      <c r="CA15" s="870"/>
      <c r="CB15" s="140" t="s">
        <v>188</v>
      </c>
      <c r="CC15" s="18" t="s">
        <v>122</v>
      </c>
      <c r="CD15" s="140">
        <v>49</v>
      </c>
      <c r="CE15" s="345">
        <v>2008</v>
      </c>
      <c r="CF15" s="345">
        <v>358</v>
      </c>
      <c r="CG15" s="345"/>
      <c r="CH15" s="345">
        <v>52</v>
      </c>
      <c r="CI15" s="345">
        <v>2048</v>
      </c>
      <c r="CJ15" s="345">
        <v>351</v>
      </c>
    </row>
    <row r="16" spans="1:88" ht="21" customHeight="1" x14ac:dyDescent="0.25">
      <c r="A16" s="870" t="s">
        <v>189</v>
      </c>
      <c r="B16" s="870"/>
      <c r="C16" s="140" t="s">
        <v>190</v>
      </c>
      <c r="D16" s="18" t="s">
        <v>122</v>
      </c>
      <c r="E16" s="434">
        <v>1.2</v>
      </c>
      <c r="F16" s="434">
        <v>2.5</v>
      </c>
      <c r="G16" s="434">
        <v>1.8</v>
      </c>
      <c r="H16" s="219"/>
      <c r="I16" s="67">
        <v>1</v>
      </c>
      <c r="J16" s="67">
        <v>2.5</v>
      </c>
      <c r="K16" s="434">
        <v>1.7</v>
      </c>
      <c r="L16" s="870" t="s">
        <v>189</v>
      </c>
      <c r="M16" s="870"/>
      <c r="N16" s="140" t="s">
        <v>190</v>
      </c>
      <c r="O16" s="18" t="s">
        <v>122</v>
      </c>
      <c r="P16" s="308">
        <v>2</v>
      </c>
      <c r="Q16" s="431">
        <v>24</v>
      </c>
      <c r="R16" s="239">
        <v>3.4</v>
      </c>
      <c r="S16" s="239"/>
      <c r="T16" s="308">
        <v>2</v>
      </c>
      <c r="U16" s="431">
        <v>24.8</v>
      </c>
      <c r="V16" s="239">
        <v>3.5</v>
      </c>
      <c r="W16" s="870" t="s">
        <v>189</v>
      </c>
      <c r="X16" s="870"/>
      <c r="Y16" s="140" t="s">
        <v>190</v>
      </c>
      <c r="Z16" s="18" t="s">
        <v>122</v>
      </c>
      <c r="AA16" s="219" t="s">
        <v>456</v>
      </c>
      <c r="AB16" s="219" t="s">
        <v>456</v>
      </c>
      <c r="AC16" s="219" t="s">
        <v>456</v>
      </c>
      <c r="AD16" s="219"/>
      <c r="AE16" s="219" t="s">
        <v>456</v>
      </c>
      <c r="AF16" s="219" t="s">
        <v>456</v>
      </c>
      <c r="AG16" s="219" t="s">
        <v>456</v>
      </c>
      <c r="AH16" s="870" t="s">
        <v>189</v>
      </c>
      <c r="AI16" s="870"/>
      <c r="AJ16" s="140" t="s">
        <v>190</v>
      </c>
      <c r="AK16" s="18" t="s">
        <v>122</v>
      </c>
      <c r="AL16" s="67">
        <v>2.7</v>
      </c>
      <c r="AM16" s="67">
        <v>6.2</v>
      </c>
      <c r="AN16" s="67">
        <v>4.0999999999999996</v>
      </c>
      <c r="AO16" s="67"/>
      <c r="AP16" s="67">
        <v>2.6</v>
      </c>
      <c r="AQ16" s="67">
        <v>6</v>
      </c>
      <c r="AR16" s="67">
        <v>4</v>
      </c>
      <c r="AS16" s="870" t="s">
        <v>189</v>
      </c>
      <c r="AT16" s="870"/>
      <c r="AU16" s="140" t="s">
        <v>190</v>
      </c>
      <c r="AV16" s="18" t="s">
        <v>122</v>
      </c>
      <c r="AW16" s="67">
        <v>1.3</v>
      </c>
      <c r="AX16" s="67">
        <v>2.2999999999999998</v>
      </c>
      <c r="AY16" s="67">
        <v>1.7</v>
      </c>
      <c r="AZ16" s="67"/>
      <c r="BA16" s="67">
        <v>1.2</v>
      </c>
      <c r="BB16" s="67">
        <v>2.2999999999999998</v>
      </c>
      <c r="BC16" s="67">
        <v>1.9</v>
      </c>
      <c r="BD16" s="870" t="s">
        <v>189</v>
      </c>
      <c r="BE16" s="870"/>
      <c r="BF16" s="140" t="s">
        <v>190</v>
      </c>
      <c r="BG16" s="18" t="s">
        <v>122</v>
      </c>
      <c r="BH16" s="219" t="s">
        <v>456</v>
      </c>
      <c r="BI16" s="219" t="s">
        <v>456</v>
      </c>
      <c r="BJ16" s="219" t="s">
        <v>456</v>
      </c>
      <c r="BK16" s="219"/>
      <c r="BL16" s="219" t="s">
        <v>456</v>
      </c>
      <c r="BM16" s="219" t="s">
        <v>456</v>
      </c>
      <c r="BN16" s="219" t="s">
        <v>456</v>
      </c>
      <c r="BO16" s="870" t="s">
        <v>189</v>
      </c>
      <c r="BP16" s="870"/>
      <c r="BQ16" s="140" t="s">
        <v>190</v>
      </c>
      <c r="BR16" s="18" t="s">
        <v>122</v>
      </c>
      <c r="BS16" s="367">
        <v>1.5</v>
      </c>
      <c r="BT16" s="371">
        <v>32</v>
      </c>
      <c r="BU16" s="368">
        <v>2.98</v>
      </c>
      <c r="BV16" s="367"/>
      <c r="BW16" s="367">
        <v>1.6</v>
      </c>
      <c r="BX16" s="371">
        <v>45</v>
      </c>
      <c r="BY16" s="367">
        <v>3.2</v>
      </c>
      <c r="BZ16" s="870" t="s">
        <v>189</v>
      </c>
      <c r="CA16" s="870"/>
      <c r="CB16" s="140" t="s">
        <v>190</v>
      </c>
      <c r="CC16" s="18" t="s">
        <v>122</v>
      </c>
      <c r="CD16" s="140">
        <v>2.5</v>
      </c>
      <c r="CE16" s="367">
        <v>18.3</v>
      </c>
      <c r="CF16" s="367">
        <v>8.1999999999999993</v>
      </c>
      <c r="CG16" s="368"/>
      <c r="CH16" s="735">
        <v>2.8</v>
      </c>
      <c r="CI16" s="735">
        <v>18.8</v>
      </c>
      <c r="CJ16" s="736">
        <v>7.97</v>
      </c>
    </row>
    <row r="17" spans="1:88" ht="21" customHeight="1" thickBot="1" x14ac:dyDescent="0.3">
      <c r="A17" s="871" t="s">
        <v>191</v>
      </c>
      <c r="B17" s="871"/>
      <c r="C17" s="143" t="s">
        <v>192</v>
      </c>
      <c r="D17" s="144" t="s">
        <v>122</v>
      </c>
      <c r="E17" s="435">
        <v>30</v>
      </c>
      <c r="F17" s="435">
        <v>100</v>
      </c>
      <c r="G17" s="435">
        <v>58</v>
      </c>
      <c r="H17" s="220"/>
      <c r="I17" s="68">
        <v>28</v>
      </c>
      <c r="J17" s="68">
        <v>123</v>
      </c>
      <c r="K17" s="435">
        <v>58</v>
      </c>
      <c r="L17" s="871" t="s">
        <v>191</v>
      </c>
      <c r="M17" s="871"/>
      <c r="N17" s="143" t="s">
        <v>192</v>
      </c>
      <c r="O17" s="144" t="s">
        <v>122</v>
      </c>
      <c r="P17" s="68">
        <v>120</v>
      </c>
      <c r="Q17" s="432">
        <v>1320</v>
      </c>
      <c r="R17" s="68">
        <v>178</v>
      </c>
      <c r="S17" s="68"/>
      <c r="T17" s="68">
        <v>124</v>
      </c>
      <c r="U17" s="432">
        <v>1340</v>
      </c>
      <c r="V17" s="68">
        <v>177</v>
      </c>
      <c r="W17" s="871" t="s">
        <v>191</v>
      </c>
      <c r="X17" s="871"/>
      <c r="Y17" s="143" t="s">
        <v>192</v>
      </c>
      <c r="Z17" s="144" t="s">
        <v>122</v>
      </c>
      <c r="AA17" s="143">
        <v>94</v>
      </c>
      <c r="AB17" s="143">
        <v>1018</v>
      </c>
      <c r="AC17" s="143">
        <v>223</v>
      </c>
      <c r="AD17" s="143"/>
      <c r="AE17" s="143">
        <v>93</v>
      </c>
      <c r="AF17" s="143">
        <v>1170</v>
      </c>
      <c r="AG17" s="143">
        <v>213</v>
      </c>
      <c r="AH17" s="871" t="s">
        <v>191</v>
      </c>
      <c r="AI17" s="871"/>
      <c r="AJ17" s="143" t="s">
        <v>192</v>
      </c>
      <c r="AK17" s="144" t="s">
        <v>122</v>
      </c>
      <c r="AL17" s="68">
        <v>150</v>
      </c>
      <c r="AM17" s="68">
        <v>395</v>
      </c>
      <c r="AN17" s="68">
        <v>268</v>
      </c>
      <c r="AO17" s="68"/>
      <c r="AP17" s="68">
        <v>154</v>
      </c>
      <c r="AQ17" s="68">
        <v>397</v>
      </c>
      <c r="AR17" s="68">
        <v>270</v>
      </c>
      <c r="AS17" s="871" t="s">
        <v>191</v>
      </c>
      <c r="AT17" s="871"/>
      <c r="AU17" s="143" t="s">
        <v>192</v>
      </c>
      <c r="AV17" s="144" t="s">
        <v>122</v>
      </c>
      <c r="AW17" s="68">
        <v>40</v>
      </c>
      <c r="AX17" s="68">
        <v>95</v>
      </c>
      <c r="AY17" s="68">
        <v>63</v>
      </c>
      <c r="AZ17" s="68"/>
      <c r="BA17" s="68">
        <v>44</v>
      </c>
      <c r="BB17" s="68">
        <v>97</v>
      </c>
      <c r="BC17" s="68">
        <v>68</v>
      </c>
      <c r="BD17" s="871" t="s">
        <v>191</v>
      </c>
      <c r="BE17" s="871"/>
      <c r="BF17" s="143" t="s">
        <v>192</v>
      </c>
      <c r="BG17" s="144" t="s">
        <v>122</v>
      </c>
      <c r="BH17" s="68">
        <v>194</v>
      </c>
      <c r="BI17" s="68">
        <v>997</v>
      </c>
      <c r="BJ17" s="68">
        <v>264</v>
      </c>
      <c r="BK17" s="68"/>
      <c r="BL17" s="68">
        <v>200</v>
      </c>
      <c r="BM17" s="68">
        <v>1008</v>
      </c>
      <c r="BN17" s="68">
        <v>272</v>
      </c>
      <c r="BO17" s="871" t="s">
        <v>191</v>
      </c>
      <c r="BP17" s="871"/>
      <c r="BQ17" s="143" t="s">
        <v>192</v>
      </c>
      <c r="BR17" s="144" t="s">
        <v>122</v>
      </c>
      <c r="BS17" s="143">
        <v>120</v>
      </c>
      <c r="BT17" s="372">
        <v>2600</v>
      </c>
      <c r="BU17" s="372">
        <v>215</v>
      </c>
      <c r="BV17" s="372"/>
      <c r="BW17" s="372">
        <v>123</v>
      </c>
      <c r="BX17" s="372">
        <v>2741</v>
      </c>
      <c r="BY17" s="372">
        <v>224</v>
      </c>
      <c r="BZ17" s="871" t="s">
        <v>191</v>
      </c>
      <c r="CA17" s="871"/>
      <c r="CB17" s="143" t="s">
        <v>192</v>
      </c>
      <c r="CC17" s="144" t="s">
        <v>122</v>
      </c>
      <c r="CD17" s="143">
        <v>134</v>
      </c>
      <c r="CE17" s="372">
        <v>2408</v>
      </c>
      <c r="CF17" s="372">
        <v>677</v>
      </c>
      <c r="CG17" s="372"/>
      <c r="CH17" s="372">
        <v>131</v>
      </c>
      <c r="CI17" s="372">
        <v>2419</v>
      </c>
      <c r="CJ17" s="372">
        <v>663</v>
      </c>
    </row>
    <row r="18" spans="1:88" s="28" customFormat="1" ht="34.5" customHeight="1" thickTop="1" x14ac:dyDescent="0.65">
      <c r="A18" s="662"/>
      <c r="B18" s="662"/>
      <c r="C18" s="662"/>
      <c r="D18" s="662"/>
      <c r="E18" s="663"/>
      <c r="F18" s="663"/>
      <c r="G18" s="126"/>
      <c r="H18" s="126"/>
      <c r="I18" s="126"/>
      <c r="J18" s="126"/>
      <c r="K18" s="128"/>
      <c r="L18" s="127"/>
      <c r="M18" s="127"/>
      <c r="N18" s="127"/>
      <c r="O18" s="127"/>
      <c r="P18" s="126"/>
      <c r="Q18" s="433"/>
      <c r="R18" s="126"/>
      <c r="S18" s="126"/>
      <c r="T18" s="126"/>
      <c r="U18" s="433"/>
      <c r="V18" s="128"/>
      <c r="W18" s="664" t="s">
        <v>281</v>
      </c>
      <c r="X18" s="664"/>
      <c r="Y18" s="664"/>
      <c r="Z18" s="664"/>
      <c r="AA18" s="126"/>
      <c r="AB18" s="126"/>
      <c r="AC18" s="126"/>
      <c r="AD18" s="126"/>
      <c r="AE18" s="126"/>
      <c r="AF18" s="126"/>
      <c r="AG18" s="128"/>
      <c r="AH18" s="127"/>
      <c r="AI18" s="127"/>
      <c r="AJ18" s="127"/>
      <c r="AK18" s="127"/>
      <c r="AL18" s="126"/>
      <c r="AM18" s="126"/>
      <c r="AN18" s="126"/>
      <c r="AO18" s="126"/>
      <c r="AP18" s="126"/>
      <c r="AQ18" s="126"/>
      <c r="AR18" s="128"/>
      <c r="AS18" s="662"/>
      <c r="AT18" s="662"/>
      <c r="AU18" s="662"/>
      <c r="AV18" s="662"/>
      <c r="AW18" s="663"/>
      <c r="AX18" s="663"/>
      <c r="AY18" s="126"/>
      <c r="AZ18" s="126"/>
      <c r="BA18" s="126"/>
      <c r="BB18" s="126"/>
      <c r="BC18" s="128"/>
      <c r="BD18" s="665" t="s">
        <v>277</v>
      </c>
      <c r="BE18" s="665"/>
      <c r="BF18" s="665"/>
      <c r="BG18" s="665"/>
      <c r="BH18" s="665"/>
      <c r="BI18" s="665"/>
      <c r="BJ18" s="126"/>
      <c r="BK18" s="126"/>
      <c r="BL18" s="126"/>
      <c r="BM18" s="126"/>
      <c r="BN18" s="128"/>
      <c r="BO18" s="127"/>
      <c r="BP18" s="127"/>
      <c r="BQ18" s="127"/>
      <c r="BR18" s="127"/>
      <c r="BS18" s="126"/>
      <c r="BT18" s="126"/>
      <c r="BU18" s="126"/>
      <c r="BV18" s="126"/>
      <c r="BW18" s="126"/>
      <c r="BX18" s="126"/>
      <c r="BY18" s="128"/>
      <c r="BZ18" s="817" t="s">
        <v>328</v>
      </c>
      <c r="CA18" s="817"/>
      <c r="CB18" s="817"/>
      <c r="CC18" s="817"/>
      <c r="CD18" s="817"/>
      <c r="CE18" s="817"/>
      <c r="CF18" s="817"/>
      <c r="CG18" s="817"/>
      <c r="CH18" s="817"/>
      <c r="CI18" s="126"/>
      <c r="CJ18" s="128"/>
    </row>
    <row r="19" spans="1:88" ht="21" customHeight="1" x14ac:dyDescent="0.25">
      <c r="A19" s="804" t="s">
        <v>451</v>
      </c>
      <c r="B19" s="804"/>
      <c r="C19" s="804"/>
      <c r="D19" s="804"/>
      <c r="E19" s="804"/>
      <c r="F19" s="804"/>
      <c r="G19" s="804"/>
      <c r="H19" s="804"/>
      <c r="I19" s="804"/>
      <c r="J19" s="804"/>
      <c r="K19" s="804"/>
      <c r="L19" s="804" t="s">
        <v>451</v>
      </c>
      <c r="M19" s="804"/>
      <c r="N19" s="804"/>
      <c r="O19" s="804"/>
      <c r="P19" s="804"/>
      <c r="Q19" s="804"/>
      <c r="R19" s="804"/>
      <c r="S19" s="804"/>
      <c r="T19" s="804"/>
      <c r="U19" s="804"/>
      <c r="V19" s="804"/>
      <c r="W19" s="804" t="s">
        <v>451</v>
      </c>
      <c r="X19" s="804"/>
      <c r="Y19" s="804"/>
      <c r="Z19" s="804"/>
      <c r="AA19" s="804"/>
      <c r="AB19" s="804"/>
      <c r="AC19" s="804"/>
      <c r="AD19" s="804"/>
      <c r="AE19" s="804"/>
      <c r="AF19" s="804"/>
      <c r="AG19" s="804"/>
      <c r="AH19" s="804" t="s">
        <v>451</v>
      </c>
      <c r="AI19" s="804"/>
      <c r="AJ19" s="804"/>
      <c r="AK19" s="804"/>
      <c r="AL19" s="804"/>
      <c r="AM19" s="804"/>
      <c r="AN19" s="804"/>
      <c r="AO19" s="804"/>
      <c r="AP19" s="804"/>
      <c r="AQ19" s="804"/>
      <c r="AR19" s="804"/>
      <c r="AS19" s="804" t="s">
        <v>451</v>
      </c>
      <c r="AT19" s="804"/>
      <c r="AU19" s="804"/>
      <c r="AV19" s="804"/>
      <c r="AW19" s="804"/>
      <c r="AX19" s="804"/>
      <c r="AY19" s="804"/>
      <c r="AZ19" s="804"/>
      <c r="BA19" s="804"/>
      <c r="BB19" s="804"/>
      <c r="BC19" s="804"/>
      <c r="BD19" s="804" t="s">
        <v>451</v>
      </c>
      <c r="BE19" s="804"/>
      <c r="BF19" s="804"/>
      <c r="BG19" s="804"/>
      <c r="BH19" s="804"/>
      <c r="BI19" s="804"/>
      <c r="BJ19" s="804"/>
      <c r="BK19" s="804"/>
      <c r="BL19" s="804"/>
      <c r="BM19" s="804"/>
      <c r="BN19" s="804"/>
      <c r="BO19" s="804" t="s">
        <v>451</v>
      </c>
      <c r="BP19" s="804"/>
      <c r="BQ19" s="804"/>
      <c r="BR19" s="804"/>
      <c r="BS19" s="804"/>
      <c r="BT19" s="804"/>
      <c r="BU19" s="804"/>
      <c r="BV19" s="804"/>
      <c r="BW19" s="804"/>
      <c r="BX19" s="804"/>
      <c r="BY19" s="804"/>
      <c r="BZ19" s="666"/>
      <c r="CA19" s="666"/>
      <c r="CB19" s="666"/>
      <c r="CC19" s="666"/>
      <c r="CD19" s="666"/>
      <c r="CE19" s="666"/>
      <c r="CF19" s="666"/>
      <c r="CG19" s="666"/>
      <c r="CH19" s="666"/>
      <c r="CI19" s="666"/>
      <c r="CJ19" s="666"/>
    </row>
    <row r="20" spans="1:88" ht="21" customHeight="1" x14ac:dyDescent="0.25">
      <c r="A20" s="804" t="s">
        <v>77</v>
      </c>
      <c r="B20" s="804"/>
      <c r="C20" s="804"/>
      <c r="D20" s="804"/>
      <c r="E20" s="804"/>
      <c r="F20" s="804"/>
      <c r="G20" s="804"/>
      <c r="H20" s="804"/>
      <c r="I20" s="804"/>
      <c r="J20" s="804"/>
      <c r="K20" s="804"/>
      <c r="L20" s="804" t="s">
        <v>336</v>
      </c>
      <c r="M20" s="804"/>
      <c r="N20" s="804"/>
      <c r="O20" s="804"/>
      <c r="P20" s="804"/>
      <c r="Q20" s="804"/>
      <c r="R20" s="804"/>
      <c r="S20" s="804"/>
      <c r="T20" s="804"/>
      <c r="U20" s="804"/>
      <c r="V20" s="804"/>
      <c r="W20" s="804" t="s">
        <v>82</v>
      </c>
      <c r="X20" s="804"/>
      <c r="Y20" s="804"/>
      <c r="Z20" s="804"/>
      <c r="AA20" s="804"/>
      <c r="AB20" s="804"/>
      <c r="AC20" s="804"/>
      <c r="AD20" s="804"/>
      <c r="AE20" s="804"/>
      <c r="AF20" s="804"/>
      <c r="AG20" s="804"/>
      <c r="AH20" s="804" t="s">
        <v>81</v>
      </c>
      <c r="AI20" s="804"/>
      <c r="AJ20" s="804"/>
      <c r="AK20" s="804"/>
      <c r="AL20" s="804"/>
      <c r="AM20" s="804"/>
      <c r="AN20" s="804"/>
      <c r="AO20" s="804"/>
      <c r="AP20" s="804"/>
      <c r="AQ20" s="804"/>
      <c r="AR20" s="804"/>
      <c r="AS20" s="804" t="s">
        <v>83</v>
      </c>
      <c r="AT20" s="804"/>
      <c r="AU20" s="804"/>
      <c r="AV20" s="804"/>
      <c r="AW20" s="804"/>
      <c r="AX20" s="804"/>
      <c r="AY20" s="804"/>
      <c r="AZ20" s="804"/>
      <c r="BA20" s="804"/>
      <c r="BB20" s="804"/>
      <c r="BC20" s="804"/>
      <c r="BD20" s="804" t="s">
        <v>85</v>
      </c>
      <c r="BE20" s="804"/>
      <c r="BF20" s="804"/>
      <c r="BG20" s="804"/>
      <c r="BH20" s="804"/>
      <c r="BI20" s="804"/>
      <c r="BJ20" s="804"/>
      <c r="BK20" s="804"/>
      <c r="BL20" s="804"/>
      <c r="BM20" s="804"/>
      <c r="BN20" s="804"/>
      <c r="BO20" s="804" t="s">
        <v>87</v>
      </c>
      <c r="BP20" s="804"/>
      <c r="BQ20" s="804"/>
      <c r="BR20" s="804"/>
      <c r="BS20" s="804"/>
      <c r="BT20" s="804"/>
      <c r="BU20" s="804"/>
      <c r="BV20" s="804"/>
      <c r="BW20" s="804"/>
      <c r="BX20" s="804"/>
      <c r="BY20" s="804"/>
      <c r="BZ20" s="666"/>
      <c r="CA20" s="666"/>
      <c r="CB20" s="666"/>
      <c r="CC20" s="666"/>
      <c r="CD20" s="666"/>
      <c r="CE20" s="666"/>
      <c r="CF20" s="666"/>
      <c r="CG20" s="666"/>
      <c r="CH20" s="666"/>
      <c r="CI20" s="666"/>
      <c r="CJ20" s="666"/>
    </row>
    <row r="21" spans="1:88" ht="29.25" customHeight="1" thickBot="1" x14ac:dyDescent="0.3">
      <c r="A21" s="791" t="s">
        <v>486</v>
      </c>
      <c r="B21" s="791"/>
      <c r="C21" s="791"/>
      <c r="D21" s="791"/>
      <c r="E21" s="791"/>
      <c r="F21" s="791"/>
      <c r="G21" s="791"/>
      <c r="H21" s="791"/>
      <c r="I21" s="791"/>
      <c r="J21" s="791"/>
      <c r="K21" s="791"/>
      <c r="L21" s="791" t="s">
        <v>486</v>
      </c>
      <c r="M21" s="791"/>
      <c r="N21" s="791"/>
      <c r="O21" s="791"/>
      <c r="P21" s="791"/>
      <c r="Q21" s="791"/>
      <c r="R21" s="791"/>
      <c r="S21" s="791"/>
      <c r="T21" s="791"/>
      <c r="U21" s="791"/>
      <c r="V21" s="791"/>
      <c r="W21" s="791" t="s">
        <v>486</v>
      </c>
      <c r="X21" s="791"/>
      <c r="Y21" s="791"/>
      <c r="Z21" s="791"/>
      <c r="AA21" s="791"/>
      <c r="AB21" s="791"/>
      <c r="AC21" s="791"/>
      <c r="AD21" s="791"/>
      <c r="AE21" s="791"/>
      <c r="AF21" s="791"/>
      <c r="AG21" s="791"/>
      <c r="AH21" s="791" t="s">
        <v>486</v>
      </c>
      <c r="AI21" s="791"/>
      <c r="AJ21" s="791"/>
      <c r="AK21" s="791"/>
      <c r="AL21" s="791"/>
      <c r="AM21" s="791"/>
      <c r="AN21" s="791"/>
      <c r="AO21" s="791"/>
      <c r="AP21" s="791"/>
      <c r="AQ21" s="791"/>
      <c r="AR21" s="791"/>
      <c r="AS21" s="791" t="s">
        <v>486</v>
      </c>
      <c r="AT21" s="791"/>
      <c r="AU21" s="791"/>
      <c r="AV21" s="791"/>
      <c r="AW21" s="791"/>
      <c r="AX21" s="791"/>
      <c r="AY21" s="791"/>
      <c r="AZ21" s="791"/>
      <c r="BA21" s="791"/>
      <c r="BB21" s="791"/>
      <c r="BC21" s="791"/>
      <c r="BD21" s="791" t="s">
        <v>486</v>
      </c>
      <c r="BE21" s="791"/>
      <c r="BF21" s="791"/>
      <c r="BG21" s="791"/>
      <c r="BH21" s="791"/>
      <c r="BI21" s="791"/>
      <c r="BJ21" s="791"/>
      <c r="BK21" s="791"/>
      <c r="BL21" s="791"/>
      <c r="BM21" s="791"/>
      <c r="BN21" s="791"/>
      <c r="BO21" s="791" t="s">
        <v>486</v>
      </c>
      <c r="BP21" s="791"/>
      <c r="BQ21" s="791"/>
      <c r="BR21" s="791"/>
      <c r="BS21" s="791"/>
      <c r="BT21" s="791"/>
      <c r="BU21" s="791"/>
      <c r="BV21" s="791"/>
      <c r="BW21" s="791"/>
      <c r="BX21" s="791"/>
      <c r="BY21" s="791"/>
      <c r="BZ21" s="657"/>
      <c r="CA21" s="657"/>
      <c r="CB21" s="657"/>
      <c r="CC21" s="657"/>
      <c r="CD21" s="657"/>
      <c r="CE21" s="657"/>
      <c r="CF21" s="657"/>
      <c r="CG21" s="657"/>
      <c r="CH21" s="657"/>
      <c r="CI21" s="657"/>
      <c r="CJ21" s="657"/>
    </row>
    <row r="22" spans="1:88" s="132" customFormat="1" ht="24.75" customHeight="1" thickTop="1" x14ac:dyDescent="0.2">
      <c r="A22" s="793" t="s">
        <v>202</v>
      </c>
      <c r="B22" s="793"/>
      <c r="C22" s="744"/>
      <c r="D22" s="793" t="s">
        <v>171</v>
      </c>
      <c r="E22" s="792" t="s">
        <v>276</v>
      </c>
      <c r="F22" s="792"/>
      <c r="G22" s="792"/>
      <c r="H22" s="745"/>
      <c r="I22" s="792" t="s">
        <v>114</v>
      </c>
      <c r="J22" s="792"/>
      <c r="K22" s="792"/>
      <c r="L22" s="793" t="s">
        <v>202</v>
      </c>
      <c r="M22" s="793"/>
      <c r="N22" s="744"/>
      <c r="O22" s="793" t="s">
        <v>171</v>
      </c>
      <c r="P22" s="792" t="s">
        <v>276</v>
      </c>
      <c r="Q22" s="792"/>
      <c r="R22" s="792"/>
      <c r="S22" s="745"/>
      <c r="T22" s="792" t="s">
        <v>114</v>
      </c>
      <c r="U22" s="792"/>
      <c r="V22" s="792"/>
      <c r="W22" s="793" t="s">
        <v>202</v>
      </c>
      <c r="X22" s="793"/>
      <c r="Y22" s="744"/>
      <c r="Z22" s="793" t="s">
        <v>171</v>
      </c>
      <c r="AA22" s="792" t="s">
        <v>276</v>
      </c>
      <c r="AB22" s="792"/>
      <c r="AC22" s="792"/>
      <c r="AD22" s="745"/>
      <c r="AE22" s="792" t="s">
        <v>114</v>
      </c>
      <c r="AF22" s="792"/>
      <c r="AG22" s="792"/>
      <c r="AH22" s="793" t="s">
        <v>202</v>
      </c>
      <c r="AI22" s="793"/>
      <c r="AJ22" s="744"/>
      <c r="AK22" s="793" t="s">
        <v>171</v>
      </c>
      <c r="AL22" s="792" t="s">
        <v>276</v>
      </c>
      <c r="AM22" s="792"/>
      <c r="AN22" s="792"/>
      <c r="AO22" s="745"/>
      <c r="AP22" s="792" t="s">
        <v>114</v>
      </c>
      <c r="AQ22" s="792"/>
      <c r="AR22" s="792"/>
      <c r="AS22" s="793" t="s">
        <v>202</v>
      </c>
      <c r="AT22" s="793"/>
      <c r="AU22" s="744"/>
      <c r="AV22" s="793" t="s">
        <v>171</v>
      </c>
      <c r="AW22" s="792" t="s">
        <v>276</v>
      </c>
      <c r="AX22" s="792"/>
      <c r="AY22" s="792"/>
      <c r="AZ22" s="745"/>
      <c r="BA22" s="792" t="s">
        <v>114</v>
      </c>
      <c r="BB22" s="792"/>
      <c r="BC22" s="792"/>
      <c r="BD22" s="793" t="s">
        <v>202</v>
      </c>
      <c r="BE22" s="793"/>
      <c r="BF22" s="744"/>
      <c r="BG22" s="793" t="s">
        <v>171</v>
      </c>
      <c r="BH22" s="792" t="s">
        <v>276</v>
      </c>
      <c r="BI22" s="792"/>
      <c r="BJ22" s="792"/>
      <c r="BK22" s="745"/>
      <c r="BL22" s="792" t="s">
        <v>114</v>
      </c>
      <c r="BM22" s="792"/>
      <c r="BN22" s="792"/>
      <c r="BO22" s="793" t="s">
        <v>202</v>
      </c>
      <c r="BP22" s="793"/>
      <c r="BQ22" s="744"/>
      <c r="BR22" s="793" t="s">
        <v>171</v>
      </c>
      <c r="BS22" s="792" t="s">
        <v>276</v>
      </c>
      <c r="BT22" s="792"/>
      <c r="BU22" s="792"/>
      <c r="BV22" s="745"/>
      <c r="BW22" s="792" t="s">
        <v>114</v>
      </c>
      <c r="BX22" s="792"/>
      <c r="BY22" s="792"/>
      <c r="BZ22" s="667"/>
      <c r="CA22" s="667"/>
      <c r="CB22" s="667"/>
      <c r="CC22" s="668"/>
      <c r="CD22" s="668"/>
      <c r="CE22" s="668"/>
      <c r="CF22" s="668"/>
      <c r="CG22" s="668"/>
      <c r="CH22" s="668"/>
      <c r="CI22" s="668"/>
      <c r="CJ22" s="668"/>
    </row>
    <row r="23" spans="1:88" s="131" customFormat="1" ht="23.25" customHeight="1" x14ac:dyDescent="0.25">
      <c r="A23" s="869"/>
      <c r="B23" s="869"/>
      <c r="C23" s="746"/>
      <c r="D23" s="869"/>
      <c r="E23" s="194" t="s">
        <v>98</v>
      </c>
      <c r="F23" s="194" t="s">
        <v>99</v>
      </c>
      <c r="G23" s="194" t="s">
        <v>115</v>
      </c>
      <c r="H23" s="188"/>
      <c r="I23" s="194" t="s">
        <v>98</v>
      </c>
      <c r="J23" s="194" t="s">
        <v>99</v>
      </c>
      <c r="K23" s="194" t="s">
        <v>115</v>
      </c>
      <c r="L23" s="869"/>
      <c r="M23" s="869"/>
      <c r="N23" s="746"/>
      <c r="O23" s="869"/>
      <c r="P23" s="194" t="s">
        <v>98</v>
      </c>
      <c r="Q23" s="194" t="s">
        <v>99</v>
      </c>
      <c r="R23" s="194" t="s">
        <v>115</v>
      </c>
      <c r="S23" s="188"/>
      <c r="T23" s="194" t="s">
        <v>98</v>
      </c>
      <c r="U23" s="194" t="s">
        <v>99</v>
      </c>
      <c r="V23" s="194" t="s">
        <v>115</v>
      </c>
      <c r="W23" s="869"/>
      <c r="X23" s="869"/>
      <c r="Y23" s="746"/>
      <c r="Z23" s="869"/>
      <c r="AA23" s="194" t="s">
        <v>98</v>
      </c>
      <c r="AB23" s="194" t="s">
        <v>99</v>
      </c>
      <c r="AC23" s="194" t="s">
        <v>115</v>
      </c>
      <c r="AD23" s="188"/>
      <c r="AE23" s="194" t="s">
        <v>98</v>
      </c>
      <c r="AF23" s="194" t="s">
        <v>99</v>
      </c>
      <c r="AG23" s="194" t="s">
        <v>115</v>
      </c>
      <c r="AH23" s="869"/>
      <c r="AI23" s="869"/>
      <c r="AJ23" s="746"/>
      <c r="AK23" s="869"/>
      <c r="AL23" s="194" t="s">
        <v>98</v>
      </c>
      <c r="AM23" s="194" t="s">
        <v>99</v>
      </c>
      <c r="AN23" s="194" t="s">
        <v>115</v>
      </c>
      <c r="AO23" s="188"/>
      <c r="AP23" s="194" t="s">
        <v>98</v>
      </c>
      <c r="AQ23" s="194" t="s">
        <v>99</v>
      </c>
      <c r="AR23" s="194" t="s">
        <v>115</v>
      </c>
      <c r="AS23" s="869"/>
      <c r="AT23" s="869"/>
      <c r="AU23" s="746"/>
      <c r="AV23" s="869"/>
      <c r="AW23" s="194" t="s">
        <v>98</v>
      </c>
      <c r="AX23" s="194" t="s">
        <v>99</v>
      </c>
      <c r="AY23" s="194" t="s">
        <v>115</v>
      </c>
      <c r="AZ23" s="188"/>
      <c r="BA23" s="194" t="s">
        <v>98</v>
      </c>
      <c r="BB23" s="194" t="s">
        <v>99</v>
      </c>
      <c r="BC23" s="194" t="s">
        <v>115</v>
      </c>
      <c r="BD23" s="869"/>
      <c r="BE23" s="869"/>
      <c r="BF23" s="746"/>
      <c r="BG23" s="869"/>
      <c r="BH23" s="194" t="s">
        <v>98</v>
      </c>
      <c r="BI23" s="194" t="s">
        <v>99</v>
      </c>
      <c r="BJ23" s="194" t="s">
        <v>115</v>
      </c>
      <c r="BK23" s="188"/>
      <c r="BL23" s="194" t="s">
        <v>98</v>
      </c>
      <c r="BM23" s="194" t="s">
        <v>99</v>
      </c>
      <c r="BN23" s="194" t="s">
        <v>115</v>
      </c>
      <c r="BO23" s="869"/>
      <c r="BP23" s="869"/>
      <c r="BQ23" s="746"/>
      <c r="BR23" s="869"/>
      <c r="BS23" s="194" t="s">
        <v>98</v>
      </c>
      <c r="BT23" s="194" t="s">
        <v>99</v>
      </c>
      <c r="BU23" s="194" t="s">
        <v>115</v>
      </c>
      <c r="BV23" s="188"/>
      <c r="BW23" s="194" t="s">
        <v>98</v>
      </c>
      <c r="BX23" s="194" t="s">
        <v>99</v>
      </c>
      <c r="BY23" s="194" t="s">
        <v>115</v>
      </c>
      <c r="BZ23" s="667"/>
      <c r="CA23" s="667"/>
      <c r="CB23" s="667"/>
      <c r="CC23" s="668"/>
      <c r="CD23" s="240"/>
      <c r="CE23" s="240"/>
      <c r="CF23" s="240"/>
      <c r="CG23" s="240"/>
      <c r="CH23" s="240"/>
      <c r="CI23" s="240"/>
      <c r="CJ23" s="240"/>
    </row>
    <row r="24" spans="1:88" ht="21" customHeight="1" x14ac:dyDescent="0.25">
      <c r="A24" s="872" t="s">
        <v>121</v>
      </c>
      <c r="B24" s="872"/>
      <c r="C24" s="139" t="s">
        <v>172</v>
      </c>
      <c r="D24" s="18" t="s">
        <v>122</v>
      </c>
      <c r="E24" s="209">
        <v>2.1</v>
      </c>
      <c r="F24" s="207">
        <v>914</v>
      </c>
      <c r="G24" s="207">
        <v>167</v>
      </c>
      <c r="H24" s="209"/>
      <c r="I24" s="208">
        <v>0.01</v>
      </c>
      <c r="J24" s="207">
        <v>5</v>
      </c>
      <c r="K24" s="209">
        <v>1.5</v>
      </c>
      <c r="L24" s="872" t="s">
        <v>121</v>
      </c>
      <c r="M24" s="872"/>
      <c r="N24" s="139" t="s">
        <v>172</v>
      </c>
      <c r="O24" s="18" t="s">
        <v>122</v>
      </c>
      <c r="P24" s="67">
        <v>0.2</v>
      </c>
      <c r="Q24" s="431">
        <v>70</v>
      </c>
      <c r="R24" s="67">
        <v>7.8</v>
      </c>
      <c r="S24" s="219"/>
      <c r="T24" s="67">
        <v>0.1</v>
      </c>
      <c r="U24" s="431">
        <v>25</v>
      </c>
      <c r="V24" s="434">
        <v>2.4</v>
      </c>
      <c r="W24" s="872" t="s">
        <v>121</v>
      </c>
      <c r="X24" s="872"/>
      <c r="Y24" s="139" t="s">
        <v>172</v>
      </c>
      <c r="Z24" s="18" t="s">
        <v>122</v>
      </c>
      <c r="AA24" s="351">
        <v>0.2</v>
      </c>
      <c r="AB24" s="349">
        <v>135</v>
      </c>
      <c r="AC24" s="351">
        <v>25.7</v>
      </c>
      <c r="AD24" s="350"/>
      <c r="AE24" s="351">
        <v>0.3</v>
      </c>
      <c r="AF24" s="349">
        <v>115</v>
      </c>
      <c r="AG24" s="351">
        <v>15.4</v>
      </c>
      <c r="AH24" s="872" t="s">
        <v>121</v>
      </c>
      <c r="AI24" s="872"/>
      <c r="AJ24" s="139" t="s">
        <v>172</v>
      </c>
      <c r="AK24" s="18" t="s">
        <v>122</v>
      </c>
      <c r="AL24" s="213">
        <v>4</v>
      </c>
      <c r="AM24" s="213">
        <v>1429</v>
      </c>
      <c r="AN24" s="213">
        <v>66</v>
      </c>
      <c r="AO24" s="208"/>
      <c r="AP24" s="207">
        <v>4</v>
      </c>
      <c r="AQ24" s="207">
        <v>1429</v>
      </c>
      <c r="AR24" s="207">
        <v>66</v>
      </c>
      <c r="AS24" s="872" t="s">
        <v>121</v>
      </c>
      <c r="AT24" s="872"/>
      <c r="AU24" s="139" t="s">
        <v>172</v>
      </c>
      <c r="AV24" s="18" t="s">
        <v>122</v>
      </c>
      <c r="AW24" s="207">
        <v>1</v>
      </c>
      <c r="AX24" s="209">
        <v>19.8</v>
      </c>
      <c r="AY24" s="209">
        <v>7.8</v>
      </c>
      <c r="AZ24" s="208"/>
      <c r="BA24" s="209">
        <v>0.1</v>
      </c>
      <c r="BB24" s="207">
        <v>5</v>
      </c>
      <c r="BC24" s="207">
        <v>3</v>
      </c>
      <c r="BD24" s="872" t="s">
        <v>121</v>
      </c>
      <c r="BE24" s="872"/>
      <c r="BF24" s="139" t="s">
        <v>172</v>
      </c>
      <c r="BG24" s="18" t="s">
        <v>122</v>
      </c>
      <c r="BH24" s="351">
        <v>1.9</v>
      </c>
      <c r="BI24" s="349">
        <v>130</v>
      </c>
      <c r="BJ24" s="351">
        <v>25.5</v>
      </c>
      <c r="BK24" s="350"/>
      <c r="BL24" s="349">
        <v>1</v>
      </c>
      <c r="BM24" s="349">
        <v>142</v>
      </c>
      <c r="BN24" s="351">
        <v>13.2</v>
      </c>
      <c r="BO24" s="872" t="s">
        <v>121</v>
      </c>
      <c r="BP24" s="872"/>
      <c r="BQ24" s="139" t="s">
        <v>172</v>
      </c>
      <c r="BR24" s="18" t="s">
        <v>122</v>
      </c>
      <c r="BS24" s="349">
        <v>5</v>
      </c>
      <c r="BT24" s="349">
        <v>5500</v>
      </c>
      <c r="BU24" s="351">
        <v>163.5</v>
      </c>
      <c r="BV24" s="350"/>
      <c r="BW24" s="349">
        <v>1</v>
      </c>
      <c r="BX24" s="349">
        <v>1900</v>
      </c>
      <c r="BY24" s="351">
        <v>19.600000000000001</v>
      </c>
      <c r="BZ24" s="670"/>
      <c r="CA24" s="670"/>
      <c r="CB24" s="241"/>
      <c r="CC24" s="20"/>
      <c r="CD24" s="242"/>
      <c r="CE24" s="242"/>
      <c r="CF24" s="242"/>
      <c r="CG24" s="242"/>
      <c r="CH24" s="242"/>
      <c r="CI24" s="242"/>
      <c r="CJ24" s="242"/>
    </row>
    <row r="25" spans="1:88" ht="21" customHeight="1" x14ac:dyDescent="0.25">
      <c r="A25" s="873" t="s">
        <v>173</v>
      </c>
      <c r="B25" s="873"/>
      <c r="C25" s="140" t="s">
        <v>174</v>
      </c>
      <c r="D25" s="18" t="s">
        <v>122</v>
      </c>
      <c r="E25" s="210">
        <v>160</v>
      </c>
      <c r="F25" s="210">
        <v>266</v>
      </c>
      <c r="G25" s="210">
        <v>181</v>
      </c>
      <c r="H25" s="211"/>
      <c r="I25" s="210">
        <v>158</v>
      </c>
      <c r="J25" s="210">
        <v>593</v>
      </c>
      <c r="K25" s="210">
        <v>237</v>
      </c>
      <c r="L25" s="873" t="s">
        <v>173</v>
      </c>
      <c r="M25" s="873"/>
      <c r="N25" s="140" t="s">
        <v>174</v>
      </c>
      <c r="O25" s="18" t="s">
        <v>122</v>
      </c>
      <c r="P25" s="67">
        <v>213</v>
      </c>
      <c r="Q25" s="431">
        <v>494</v>
      </c>
      <c r="R25" s="67">
        <v>345</v>
      </c>
      <c r="S25" s="219"/>
      <c r="T25" s="67">
        <v>212</v>
      </c>
      <c r="U25" s="431">
        <v>496</v>
      </c>
      <c r="V25" s="434">
        <v>344</v>
      </c>
      <c r="W25" s="873" t="s">
        <v>173</v>
      </c>
      <c r="X25" s="873"/>
      <c r="Y25" s="140" t="s">
        <v>174</v>
      </c>
      <c r="Z25" s="18" t="s">
        <v>122</v>
      </c>
      <c r="AA25" s="352">
        <v>289</v>
      </c>
      <c r="AB25" s="352">
        <v>1787</v>
      </c>
      <c r="AC25" s="352">
        <v>388</v>
      </c>
      <c r="AD25" s="354"/>
      <c r="AE25" s="352">
        <v>289</v>
      </c>
      <c r="AF25" s="352">
        <v>1748</v>
      </c>
      <c r="AG25" s="352">
        <v>387</v>
      </c>
      <c r="AH25" s="873" t="s">
        <v>173</v>
      </c>
      <c r="AI25" s="873"/>
      <c r="AJ25" s="140" t="s">
        <v>174</v>
      </c>
      <c r="AK25" s="18" t="s">
        <v>122</v>
      </c>
      <c r="AL25" s="210">
        <v>245</v>
      </c>
      <c r="AM25" s="210">
        <v>1159</v>
      </c>
      <c r="AN25" s="210">
        <v>353</v>
      </c>
      <c r="AO25" s="211"/>
      <c r="AP25" s="210">
        <v>245</v>
      </c>
      <c r="AQ25" s="210">
        <v>1159</v>
      </c>
      <c r="AR25" s="210">
        <v>353</v>
      </c>
      <c r="AS25" s="873" t="s">
        <v>173</v>
      </c>
      <c r="AT25" s="873"/>
      <c r="AU25" s="140" t="s">
        <v>174</v>
      </c>
      <c r="AV25" s="18" t="s">
        <v>122</v>
      </c>
      <c r="AW25" s="210">
        <v>250</v>
      </c>
      <c r="AX25" s="210">
        <v>580</v>
      </c>
      <c r="AY25" s="210">
        <v>419</v>
      </c>
      <c r="AZ25" s="211"/>
      <c r="BA25" s="210">
        <v>250</v>
      </c>
      <c r="BB25" s="210">
        <v>580</v>
      </c>
      <c r="BC25" s="210">
        <v>419</v>
      </c>
      <c r="BD25" s="873" t="s">
        <v>173</v>
      </c>
      <c r="BE25" s="873"/>
      <c r="BF25" s="140" t="s">
        <v>174</v>
      </c>
      <c r="BG25" s="18" t="s">
        <v>122</v>
      </c>
      <c r="BH25" s="352">
        <v>326</v>
      </c>
      <c r="BI25" s="352">
        <v>1377</v>
      </c>
      <c r="BJ25" s="352">
        <v>682</v>
      </c>
      <c r="BK25" s="353"/>
      <c r="BL25" s="352">
        <v>330</v>
      </c>
      <c r="BM25" s="352">
        <v>1381</v>
      </c>
      <c r="BN25" s="352">
        <v>682</v>
      </c>
      <c r="BO25" s="873" t="s">
        <v>173</v>
      </c>
      <c r="BP25" s="873"/>
      <c r="BQ25" s="140" t="s">
        <v>174</v>
      </c>
      <c r="BR25" s="18" t="s">
        <v>122</v>
      </c>
      <c r="BS25" s="352">
        <v>360</v>
      </c>
      <c r="BT25" s="352">
        <v>1248</v>
      </c>
      <c r="BU25" s="352">
        <v>637</v>
      </c>
      <c r="BV25" s="354"/>
      <c r="BW25" s="352">
        <v>368</v>
      </c>
      <c r="BX25" s="352">
        <v>1248</v>
      </c>
      <c r="BY25" s="352">
        <v>638</v>
      </c>
      <c r="BZ25" s="670"/>
      <c r="CA25" s="670"/>
      <c r="CB25" s="241"/>
      <c r="CC25" s="20"/>
      <c r="CD25" s="242"/>
      <c r="CE25" s="242"/>
      <c r="CF25" s="242"/>
      <c r="CG25" s="242"/>
      <c r="CH25" s="242"/>
      <c r="CI25" s="242"/>
      <c r="CJ25" s="242"/>
    </row>
    <row r="26" spans="1:88" ht="21" customHeight="1" x14ac:dyDescent="0.25">
      <c r="A26" s="873" t="s">
        <v>124</v>
      </c>
      <c r="B26" s="873"/>
      <c r="C26" s="140" t="s">
        <v>175</v>
      </c>
      <c r="D26" s="18" t="s">
        <v>122</v>
      </c>
      <c r="E26" s="210">
        <v>135</v>
      </c>
      <c r="F26" s="210">
        <v>330</v>
      </c>
      <c r="G26" s="210">
        <v>161</v>
      </c>
      <c r="H26" s="211"/>
      <c r="I26" s="210">
        <v>133</v>
      </c>
      <c r="J26" s="210">
        <v>282</v>
      </c>
      <c r="K26" s="210">
        <v>168</v>
      </c>
      <c r="L26" s="873" t="s">
        <v>124</v>
      </c>
      <c r="M26" s="873"/>
      <c r="N26" s="140" t="s">
        <v>175</v>
      </c>
      <c r="O26" s="18" t="s">
        <v>122</v>
      </c>
      <c r="P26" s="67">
        <v>70</v>
      </c>
      <c r="Q26" s="431">
        <v>130</v>
      </c>
      <c r="R26" s="67">
        <v>101</v>
      </c>
      <c r="S26" s="219"/>
      <c r="T26" s="67">
        <v>73</v>
      </c>
      <c r="U26" s="431">
        <v>128</v>
      </c>
      <c r="V26" s="434">
        <v>100</v>
      </c>
      <c r="W26" s="873" t="s">
        <v>124</v>
      </c>
      <c r="X26" s="873"/>
      <c r="Y26" s="140" t="s">
        <v>175</v>
      </c>
      <c r="Z26" s="18" t="s">
        <v>122</v>
      </c>
      <c r="AA26" s="352">
        <v>100</v>
      </c>
      <c r="AB26" s="352">
        <v>400</v>
      </c>
      <c r="AC26" s="352">
        <v>133</v>
      </c>
      <c r="AD26" s="354"/>
      <c r="AE26" s="352">
        <v>100</v>
      </c>
      <c r="AF26" s="352">
        <v>400</v>
      </c>
      <c r="AG26" s="352">
        <v>131</v>
      </c>
      <c r="AH26" s="873" t="s">
        <v>124</v>
      </c>
      <c r="AI26" s="873"/>
      <c r="AJ26" s="140" t="s">
        <v>175</v>
      </c>
      <c r="AK26" s="18" t="s">
        <v>122</v>
      </c>
      <c r="AL26" s="210">
        <v>106</v>
      </c>
      <c r="AM26" s="210">
        <v>200</v>
      </c>
      <c r="AN26" s="210">
        <v>154</v>
      </c>
      <c r="AO26" s="211"/>
      <c r="AP26" s="210">
        <v>106</v>
      </c>
      <c r="AQ26" s="210">
        <v>200</v>
      </c>
      <c r="AR26" s="210">
        <v>154</v>
      </c>
      <c r="AS26" s="873" t="s">
        <v>124</v>
      </c>
      <c r="AT26" s="873"/>
      <c r="AU26" s="140" t="s">
        <v>175</v>
      </c>
      <c r="AV26" s="18" t="s">
        <v>122</v>
      </c>
      <c r="AW26" s="210">
        <v>96</v>
      </c>
      <c r="AX26" s="210">
        <v>148</v>
      </c>
      <c r="AY26" s="210">
        <v>121</v>
      </c>
      <c r="AZ26" s="211"/>
      <c r="BA26" s="210">
        <v>96</v>
      </c>
      <c r="BB26" s="210">
        <v>148</v>
      </c>
      <c r="BC26" s="210">
        <v>121</v>
      </c>
      <c r="BD26" s="873" t="s">
        <v>124</v>
      </c>
      <c r="BE26" s="873"/>
      <c r="BF26" s="140" t="s">
        <v>175</v>
      </c>
      <c r="BG26" s="18" t="s">
        <v>122</v>
      </c>
      <c r="BH26" s="352">
        <v>100</v>
      </c>
      <c r="BI26" s="352">
        <v>166</v>
      </c>
      <c r="BJ26" s="352">
        <v>136</v>
      </c>
      <c r="BK26" s="354"/>
      <c r="BL26" s="352">
        <v>96</v>
      </c>
      <c r="BM26" s="352">
        <v>168</v>
      </c>
      <c r="BN26" s="352">
        <v>136</v>
      </c>
      <c r="BO26" s="873" t="s">
        <v>124</v>
      </c>
      <c r="BP26" s="873"/>
      <c r="BQ26" s="140" t="s">
        <v>175</v>
      </c>
      <c r="BR26" s="18" t="s">
        <v>122</v>
      </c>
      <c r="BS26" s="352">
        <v>128</v>
      </c>
      <c r="BT26" s="352">
        <v>180</v>
      </c>
      <c r="BU26" s="352">
        <v>161</v>
      </c>
      <c r="BV26" s="354"/>
      <c r="BW26" s="352">
        <v>126</v>
      </c>
      <c r="BX26" s="352">
        <v>178</v>
      </c>
      <c r="BY26" s="352">
        <v>159</v>
      </c>
      <c r="BZ26" s="670"/>
      <c r="CA26" s="670"/>
      <c r="CB26" s="241"/>
      <c r="CC26" s="20"/>
      <c r="CD26" s="242"/>
      <c r="CE26" s="242"/>
      <c r="CF26" s="242"/>
      <c r="CG26" s="242"/>
      <c r="CH26" s="242"/>
      <c r="CI26" s="242"/>
      <c r="CJ26" s="242"/>
    </row>
    <row r="27" spans="1:88" ht="21" customHeight="1" x14ac:dyDescent="0.25">
      <c r="A27" s="874" t="s">
        <v>176</v>
      </c>
      <c r="B27" s="874"/>
      <c r="C27" s="140" t="s">
        <v>177</v>
      </c>
      <c r="D27" s="18" t="s">
        <v>122</v>
      </c>
      <c r="E27" s="210">
        <v>220</v>
      </c>
      <c r="F27" s="210">
        <v>404</v>
      </c>
      <c r="G27" s="210">
        <v>277</v>
      </c>
      <c r="H27" s="211"/>
      <c r="I27" s="210">
        <v>220</v>
      </c>
      <c r="J27" s="210">
        <v>930</v>
      </c>
      <c r="K27" s="210">
        <v>366</v>
      </c>
      <c r="L27" s="874" t="s">
        <v>176</v>
      </c>
      <c r="M27" s="874"/>
      <c r="N27" s="140" t="s">
        <v>177</v>
      </c>
      <c r="O27" s="18" t="s">
        <v>122</v>
      </c>
      <c r="P27" s="67">
        <v>300</v>
      </c>
      <c r="Q27" s="511">
        <v>980</v>
      </c>
      <c r="R27" s="67">
        <v>566</v>
      </c>
      <c r="S27" s="219"/>
      <c r="T27" s="67">
        <v>280</v>
      </c>
      <c r="U27" s="511">
        <v>976</v>
      </c>
      <c r="V27" s="434">
        <v>568</v>
      </c>
      <c r="W27" s="874" t="s">
        <v>176</v>
      </c>
      <c r="X27" s="874"/>
      <c r="Y27" s="140" t="s">
        <v>177</v>
      </c>
      <c r="Z27" s="18" t="s">
        <v>122</v>
      </c>
      <c r="AA27" s="352">
        <v>460</v>
      </c>
      <c r="AB27" s="352">
        <v>3462</v>
      </c>
      <c r="AC27" s="352">
        <v>669</v>
      </c>
      <c r="AD27" s="354"/>
      <c r="AE27" s="352">
        <v>452</v>
      </c>
      <c r="AF27" s="352">
        <v>3434</v>
      </c>
      <c r="AG27" s="352">
        <v>670</v>
      </c>
      <c r="AH27" s="874" t="s">
        <v>176</v>
      </c>
      <c r="AI27" s="874"/>
      <c r="AJ27" s="140" t="s">
        <v>177</v>
      </c>
      <c r="AK27" s="18" t="s">
        <v>122</v>
      </c>
      <c r="AL27" s="210">
        <v>428</v>
      </c>
      <c r="AM27" s="210">
        <v>2234</v>
      </c>
      <c r="AN27" s="210">
        <v>662</v>
      </c>
      <c r="AO27" s="211"/>
      <c r="AP27" s="210">
        <v>428</v>
      </c>
      <c r="AQ27" s="210">
        <v>2334</v>
      </c>
      <c r="AR27" s="210">
        <v>662</v>
      </c>
      <c r="AS27" s="874" t="s">
        <v>176</v>
      </c>
      <c r="AT27" s="874"/>
      <c r="AU27" s="140" t="s">
        <v>177</v>
      </c>
      <c r="AV27" s="18" t="s">
        <v>122</v>
      </c>
      <c r="AW27" s="210">
        <v>452</v>
      </c>
      <c r="AX27" s="210">
        <v>1168</v>
      </c>
      <c r="AY27" s="210">
        <v>790</v>
      </c>
      <c r="AZ27" s="211"/>
      <c r="BA27" s="210">
        <v>450</v>
      </c>
      <c r="BB27" s="210">
        <v>1170</v>
      </c>
      <c r="BC27" s="210">
        <v>791</v>
      </c>
      <c r="BD27" s="874" t="s">
        <v>176</v>
      </c>
      <c r="BE27" s="874"/>
      <c r="BF27" s="140" t="s">
        <v>177</v>
      </c>
      <c r="BG27" s="18" t="s">
        <v>122</v>
      </c>
      <c r="BH27" s="352">
        <v>689</v>
      </c>
      <c r="BI27" s="352">
        <v>4534</v>
      </c>
      <c r="BJ27" s="352">
        <v>1687</v>
      </c>
      <c r="BK27" s="354"/>
      <c r="BL27" s="352">
        <v>699</v>
      </c>
      <c r="BM27" s="352">
        <v>4530</v>
      </c>
      <c r="BN27" s="352">
        <v>1693</v>
      </c>
      <c r="BO27" s="874" t="s">
        <v>176</v>
      </c>
      <c r="BP27" s="874"/>
      <c r="BQ27" s="140" t="s">
        <v>177</v>
      </c>
      <c r="BR27" s="18" t="s">
        <v>122</v>
      </c>
      <c r="BS27" s="352">
        <v>576</v>
      </c>
      <c r="BT27" s="352">
        <v>2490</v>
      </c>
      <c r="BU27" s="352">
        <v>1238</v>
      </c>
      <c r="BV27" s="354"/>
      <c r="BW27" s="352">
        <v>596</v>
      </c>
      <c r="BX27" s="352">
        <v>2544</v>
      </c>
      <c r="BY27" s="352">
        <v>1233</v>
      </c>
      <c r="BZ27" s="671"/>
      <c r="CA27" s="671"/>
      <c r="CB27" s="241"/>
      <c r="CC27" s="20"/>
      <c r="CD27" s="242"/>
      <c r="CE27" s="242"/>
      <c r="CF27" s="242"/>
      <c r="CG27" s="242"/>
      <c r="CH27" s="242"/>
      <c r="CI27" s="242"/>
      <c r="CJ27" s="242"/>
    </row>
    <row r="28" spans="1:88" ht="21" customHeight="1" x14ac:dyDescent="0.25">
      <c r="A28" s="873" t="s">
        <v>178</v>
      </c>
      <c r="B28" s="873"/>
      <c r="C28" s="140" t="s">
        <v>123</v>
      </c>
      <c r="D28" s="195"/>
      <c r="E28" s="211">
        <v>7.2</v>
      </c>
      <c r="F28" s="211">
        <v>7.9</v>
      </c>
      <c r="G28" s="211">
        <v>7.3</v>
      </c>
      <c r="H28" s="211"/>
      <c r="I28" s="211">
        <v>7.2</v>
      </c>
      <c r="J28" s="211">
        <v>7.9</v>
      </c>
      <c r="K28" s="211">
        <v>7.7</v>
      </c>
      <c r="L28" s="873" t="s">
        <v>178</v>
      </c>
      <c r="M28" s="873"/>
      <c r="N28" s="140" t="s">
        <v>123</v>
      </c>
      <c r="O28" s="195"/>
      <c r="P28" s="67">
        <v>6.3</v>
      </c>
      <c r="Q28" s="431">
        <v>8.6999999999999993</v>
      </c>
      <c r="R28" s="67">
        <v>8.0299999999999994</v>
      </c>
      <c r="S28" s="219"/>
      <c r="T28" s="67">
        <v>6.8</v>
      </c>
      <c r="U28" s="431">
        <v>8.9</v>
      </c>
      <c r="V28" s="434">
        <v>7.8</v>
      </c>
      <c r="W28" s="873" t="s">
        <v>178</v>
      </c>
      <c r="X28" s="873"/>
      <c r="Y28" s="140" t="s">
        <v>123</v>
      </c>
      <c r="Z28" s="195"/>
      <c r="AA28" s="352">
        <v>6</v>
      </c>
      <c r="AB28" s="354">
        <v>8.6999999999999993</v>
      </c>
      <c r="AC28" s="354">
        <v>7.3</v>
      </c>
      <c r="AD28" s="353"/>
      <c r="AE28" s="354">
        <v>6.1</v>
      </c>
      <c r="AF28" s="354">
        <v>8.6999999999999993</v>
      </c>
      <c r="AG28" s="353">
        <v>7.26</v>
      </c>
      <c r="AH28" s="873" t="s">
        <v>178</v>
      </c>
      <c r="AI28" s="873"/>
      <c r="AJ28" s="140" t="s">
        <v>123</v>
      </c>
      <c r="AK28" s="195"/>
      <c r="AL28" s="212">
        <v>6.36</v>
      </c>
      <c r="AM28" s="211">
        <v>8.8000000000000007</v>
      </c>
      <c r="AN28" s="212">
        <v>7.43</v>
      </c>
      <c r="AO28" s="212"/>
      <c r="AP28" s="212">
        <v>6.36</v>
      </c>
      <c r="AQ28" s="211">
        <v>8.8000000000000007</v>
      </c>
      <c r="AR28" s="212">
        <v>7.43</v>
      </c>
      <c r="AS28" s="873" t="s">
        <v>178</v>
      </c>
      <c r="AT28" s="873"/>
      <c r="AU28" s="140" t="s">
        <v>123</v>
      </c>
      <c r="AV28" s="195"/>
      <c r="AW28" s="212">
        <v>7.13</v>
      </c>
      <c r="AX28" s="211">
        <v>8.5</v>
      </c>
      <c r="AY28" s="211">
        <v>7.9</v>
      </c>
      <c r="AZ28" s="212"/>
      <c r="BA28" s="211">
        <v>6.7</v>
      </c>
      <c r="BB28" s="211">
        <v>8.5</v>
      </c>
      <c r="BC28" s="211">
        <v>7.8</v>
      </c>
      <c r="BD28" s="873" t="s">
        <v>178</v>
      </c>
      <c r="BE28" s="873"/>
      <c r="BF28" s="140" t="s">
        <v>123</v>
      </c>
      <c r="BG28" s="195"/>
      <c r="BH28" s="354">
        <v>7.2</v>
      </c>
      <c r="BI28" s="354">
        <v>8.4</v>
      </c>
      <c r="BJ28" s="354">
        <v>7.8</v>
      </c>
      <c r="BK28" s="354"/>
      <c r="BL28" s="354">
        <v>7.1</v>
      </c>
      <c r="BM28" s="354">
        <v>8.3000000000000007</v>
      </c>
      <c r="BN28" s="354">
        <v>7.7</v>
      </c>
      <c r="BO28" s="873" t="s">
        <v>178</v>
      </c>
      <c r="BP28" s="873"/>
      <c r="BQ28" s="140" t="s">
        <v>123</v>
      </c>
      <c r="BR28" s="195"/>
      <c r="BS28" s="354">
        <v>6.8</v>
      </c>
      <c r="BT28" s="354">
        <v>8.8000000000000007</v>
      </c>
      <c r="BU28" s="354">
        <v>7.8</v>
      </c>
      <c r="BV28" s="353"/>
      <c r="BW28" s="352">
        <v>7</v>
      </c>
      <c r="BX28" s="354">
        <v>8.5</v>
      </c>
      <c r="BY28" s="354">
        <v>7.6</v>
      </c>
      <c r="BZ28" s="670"/>
      <c r="CA28" s="670"/>
      <c r="CB28" s="241"/>
      <c r="CC28" s="20"/>
      <c r="CD28" s="242"/>
      <c r="CE28" s="242"/>
      <c r="CF28" s="242"/>
      <c r="CG28" s="242"/>
      <c r="CH28" s="242"/>
      <c r="CI28" s="242"/>
      <c r="CJ28" s="242"/>
    </row>
    <row r="29" spans="1:88" ht="21" customHeight="1" x14ac:dyDescent="0.25">
      <c r="A29" s="873" t="s">
        <v>179</v>
      </c>
      <c r="B29" s="873"/>
      <c r="C29" s="140" t="s">
        <v>180</v>
      </c>
      <c r="D29" s="18" t="s">
        <v>122</v>
      </c>
      <c r="E29" s="210">
        <v>9</v>
      </c>
      <c r="F29" s="210">
        <v>22</v>
      </c>
      <c r="G29" s="210">
        <v>14</v>
      </c>
      <c r="H29" s="211"/>
      <c r="I29" s="213">
        <v>9</v>
      </c>
      <c r="J29" s="213">
        <v>135</v>
      </c>
      <c r="K29" s="213">
        <v>22</v>
      </c>
      <c r="L29" s="873" t="s">
        <v>179</v>
      </c>
      <c r="M29" s="873"/>
      <c r="N29" s="140" t="s">
        <v>180</v>
      </c>
      <c r="O29" s="18" t="s">
        <v>122</v>
      </c>
      <c r="P29" s="67">
        <v>52</v>
      </c>
      <c r="Q29" s="431">
        <v>157</v>
      </c>
      <c r="R29" s="67">
        <v>99</v>
      </c>
      <c r="S29" s="219"/>
      <c r="T29" s="67">
        <v>52</v>
      </c>
      <c r="U29" s="431">
        <v>160</v>
      </c>
      <c r="V29" s="434">
        <v>100</v>
      </c>
      <c r="W29" s="873" t="s">
        <v>179</v>
      </c>
      <c r="X29" s="873"/>
      <c r="Y29" s="140" t="s">
        <v>180</v>
      </c>
      <c r="Z29" s="18" t="s">
        <v>122</v>
      </c>
      <c r="AA29" s="352">
        <v>53</v>
      </c>
      <c r="AB29" s="352">
        <v>970</v>
      </c>
      <c r="AC29" s="352">
        <v>96</v>
      </c>
      <c r="AD29" s="354"/>
      <c r="AE29" s="352">
        <v>55</v>
      </c>
      <c r="AF29" s="352">
        <v>941</v>
      </c>
      <c r="AG29" s="352">
        <v>97</v>
      </c>
      <c r="AH29" s="873" t="s">
        <v>179</v>
      </c>
      <c r="AI29" s="873"/>
      <c r="AJ29" s="140" t="s">
        <v>180</v>
      </c>
      <c r="AK29" s="18" t="s">
        <v>122</v>
      </c>
      <c r="AL29" s="210">
        <v>49</v>
      </c>
      <c r="AM29" s="210">
        <v>524</v>
      </c>
      <c r="AN29" s="212">
        <v>99.94</v>
      </c>
      <c r="AO29" s="211"/>
      <c r="AP29" s="210">
        <v>49</v>
      </c>
      <c r="AQ29" s="210">
        <v>524</v>
      </c>
      <c r="AR29" s="210">
        <v>100</v>
      </c>
      <c r="AS29" s="873" t="s">
        <v>179</v>
      </c>
      <c r="AT29" s="873"/>
      <c r="AU29" s="140" t="s">
        <v>180</v>
      </c>
      <c r="AV29" s="18" t="s">
        <v>122</v>
      </c>
      <c r="AW29" s="210">
        <v>60</v>
      </c>
      <c r="AX29" s="210">
        <v>182</v>
      </c>
      <c r="AY29" s="210">
        <v>131</v>
      </c>
      <c r="AZ29" s="211"/>
      <c r="BA29" s="210">
        <v>60</v>
      </c>
      <c r="BB29" s="210">
        <v>189</v>
      </c>
      <c r="BC29" s="210">
        <v>131</v>
      </c>
      <c r="BD29" s="873" t="s">
        <v>179</v>
      </c>
      <c r="BE29" s="873"/>
      <c r="BF29" s="140" t="s">
        <v>180</v>
      </c>
      <c r="BG29" s="18" t="s">
        <v>122</v>
      </c>
      <c r="BH29" s="352">
        <v>129</v>
      </c>
      <c r="BI29" s="352">
        <v>1112</v>
      </c>
      <c r="BJ29" s="352">
        <v>428</v>
      </c>
      <c r="BK29" s="354"/>
      <c r="BL29" s="352">
        <v>126</v>
      </c>
      <c r="BM29" s="352">
        <v>1110</v>
      </c>
      <c r="BN29" s="352">
        <v>430</v>
      </c>
      <c r="BO29" s="873" t="s">
        <v>179</v>
      </c>
      <c r="BP29" s="873"/>
      <c r="BQ29" s="140" t="s">
        <v>180</v>
      </c>
      <c r="BR29" s="18" t="s">
        <v>122</v>
      </c>
      <c r="BS29" s="358">
        <v>142</v>
      </c>
      <c r="BT29" s="358">
        <v>617</v>
      </c>
      <c r="BU29" s="358">
        <v>317</v>
      </c>
      <c r="BV29" s="353"/>
      <c r="BW29" s="352">
        <v>163</v>
      </c>
      <c r="BX29" s="352">
        <v>620</v>
      </c>
      <c r="BY29" s="352">
        <v>317</v>
      </c>
      <c r="BZ29" s="670"/>
      <c r="CA29" s="670"/>
      <c r="CB29" s="241"/>
      <c r="CC29" s="20"/>
      <c r="CD29" s="242"/>
      <c r="CE29" s="242"/>
      <c r="CF29" s="242"/>
      <c r="CG29" s="242"/>
      <c r="CH29" s="242"/>
      <c r="CI29" s="242"/>
      <c r="CJ29" s="242"/>
    </row>
    <row r="30" spans="1:88" ht="21" customHeight="1" x14ac:dyDescent="0.25">
      <c r="A30" s="873" t="s">
        <v>181</v>
      </c>
      <c r="B30" s="873"/>
      <c r="C30" s="140" t="s">
        <v>182</v>
      </c>
      <c r="D30" s="18" t="s">
        <v>122</v>
      </c>
      <c r="E30" s="210">
        <v>38</v>
      </c>
      <c r="F30" s="210">
        <v>71</v>
      </c>
      <c r="G30" s="210">
        <v>43</v>
      </c>
      <c r="H30" s="214"/>
      <c r="I30" s="210">
        <v>17</v>
      </c>
      <c r="J30" s="210">
        <v>125</v>
      </c>
      <c r="K30" s="210">
        <v>47</v>
      </c>
      <c r="L30" s="873" t="s">
        <v>181</v>
      </c>
      <c r="M30" s="873"/>
      <c r="N30" s="140" t="s">
        <v>182</v>
      </c>
      <c r="O30" s="18" t="s">
        <v>122</v>
      </c>
      <c r="P30" s="67">
        <v>48</v>
      </c>
      <c r="Q30" s="431">
        <v>145</v>
      </c>
      <c r="R30" s="67">
        <v>88</v>
      </c>
      <c r="S30" s="219"/>
      <c r="T30" s="67">
        <v>48</v>
      </c>
      <c r="U30" s="431">
        <v>146</v>
      </c>
      <c r="V30" s="434">
        <v>88</v>
      </c>
      <c r="W30" s="873" t="s">
        <v>181</v>
      </c>
      <c r="X30" s="873"/>
      <c r="Y30" s="140" t="s">
        <v>182</v>
      </c>
      <c r="Z30" s="18" t="s">
        <v>122</v>
      </c>
      <c r="AA30" s="355">
        <v>68</v>
      </c>
      <c r="AB30" s="355">
        <v>289</v>
      </c>
      <c r="AC30" s="355">
        <v>104</v>
      </c>
      <c r="AD30" s="356"/>
      <c r="AE30" s="352">
        <v>66</v>
      </c>
      <c r="AF30" s="352">
        <v>289</v>
      </c>
      <c r="AG30" s="352">
        <v>126</v>
      </c>
      <c r="AH30" s="873" t="s">
        <v>181</v>
      </c>
      <c r="AI30" s="873"/>
      <c r="AJ30" s="140" t="s">
        <v>182</v>
      </c>
      <c r="AK30" s="18" t="s">
        <v>122</v>
      </c>
      <c r="AL30" s="210">
        <v>59</v>
      </c>
      <c r="AM30" s="210">
        <v>392</v>
      </c>
      <c r="AN30" s="210">
        <v>92</v>
      </c>
      <c r="AO30" s="214"/>
      <c r="AP30" s="210">
        <v>49</v>
      </c>
      <c r="AQ30" s="210">
        <v>403</v>
      </c>
      <c r="AR30" s="210">
        <v>92</v>
      </c>
      <c r="AS30" s="873" t="s">
        <v>181</v>
      </c>
      <c r="AT30" s="873"/>
      <c r="AU30" s="140" t="s">
        <v>182</v>
      </c>
      <c r="AV30" s="18" t="s">
        <v>122</v>
      </c>
      <c r="AW30" s="213">
        <v>47</v>
      </c>
      <c r="AX30" s="213">
        <v>145</v>
      </c>
      <c r="AY30" s="213">
        <v>104</v>
      </c>
      <c r="AZ30" s="214"/>
      <c r="BA30" s="210">
        <v>47</v>
      </c>
      <c r="BB30" s="210">
        <v>145</v>
      </c>
      <c r="BC30" s="210">
        <v>104</v>
      </c>
      <c r="BD30" s="873" t="s">
        <v>181</v>
      </c>
      <c r="BE30" s="873"/>
      <c r="BF30" s="140" t="s">
        <v>182</v>
      </c>
      <c r="BG30" s="18" t="s">
        <v>122</v>
      </c>
      <c r="BH30" s="355">
        <v>61</v>
      </c>
      <c r="BI30" s="355">
        <v>242</v>
      </c>
      <c r="BJ30" s="355">
        <v>141</v>
      </c>
      <c r="BK30" s="356"/>
      <c r="BL30" s="352">
        <v>60</v>
      </c>
      <c r="BM30" s="352">
        <v>247</v>
      </c>
      <c r="BN30" s="352">
        <v>141</v>
      </c>
      <c r="BO30" s="873" t="s">
        <v>181</v>
      </c>
      <c r="BP30" s="873"/>
      <c r="BQ30" s="140" t="s">
        <v>182</v>
      </c>
      <c r="BR30" s="18" t="s">
        <v>122</v>
      </c>
      <c r="BS30" s="352">
        <v>84</v>
      </c>
      <c r="BT30" s="352">
        <v>440</v>
      </c>
      <c r="BU30" s="352">
        <v>166</v>
      </c>
      <c r="BV30" s="356"/>
      <c r="BW30" s="352">
        <v>88</v>
      </c>
      <c r="BX30" s="352">
        <v>404</v>
      </c>
      <c r="BY30" s="352">
        <v>166</v>
      </c>
      <c r="BZ30" s="670"/>
      <c r="CA30" s="670"/>
      <c r="CB30" s="241"/>
      <c r="CC30" s="20"/>
      <c r="CD30" s="242"/>
      <c r="CE30" s="242"/>
      <c r="CF30" s="242"/>
      <c r="CG30" s="242"/>
      <c r="CH30" s="242"/>
      <c r="CI30" s="242"/>
      <c r="CJ30" s="242"/>
    </row>
    <row r="31" spans="1:88" ht="21" customHeight="1" x14ac:dyDescent="0.25">
      <c r="A31" s="873" t="s">
        <v>183</v>
      </c>
      <c r="B31" s="873"/>
      <c r="C31" s="140" t="s">
        <v>184</v>
      </c>
      <c r="D31" s="18" t="s">
        <v>122</v>
      </c>
      <c r="E31" s="210">
        <v>10</v>
      </c>
      <c r="F31" s="210">
        <v>28</v>
      </c>
      <c r="G31" s="210">
        <v>18</v>
      </c>
      <c r="H31" s="211"/>
      <c r="I31" s="210">
        <v>13</v>
      </c>
      <c r="J31" s="210">
        <v>85</v>
      </c>
      <c r="K31" s="210">
        <v>29</v>
      </c>
      <c r="L31" s="873" t="s">
        <v>183</v>
      </c>
      <c r="M31" s="873"/>
      <c r="N31" s="140" t="s">
        <v>184</v>
      </c>
      <c r="O31" s="18" t="s">
        <v>122</v>
      </c>
      <c r="P31" s="67">
        <v>18</v>
      </c>
      <c r="Q31" s="431">
        <v>54</v>
      </c>
      <c r="R31" s="67">
        <v>30</v>
      </c>
      <c r="S31" s="219"/>
      <c r="T31" s="67">
        <v>18</v>
      </c>
      <c r="U31" s="431">
        <v>56</v>
      </c>
      <c r="V31" s="434">
        <v>30</v>
      </c>
      <c r="W31" s="873" t="s">
        <v>183</v>
      </c>
      <c r="X31" s="873"/>
      <c r="Y31" s="140" t="s">
        <v>184</v>
      </c>
      <c r="Z31" s="18" t="s">
        <v>122</v>
      </c>
      <c r="AA31" s="352">
        <v>21</v>
      </c>
      <c r="AB31" s="352">
        <v>259</v>
      </c>
      <c r="AC31" s="352">
        <v>31</v>
      </c>
      <c r="AD31" s="354"/>
      <c r="AE31" s="352">
        <v>22</v>
      </c>
      <c r="AF31" s="352">
        <v>250</v>
      </c>
      <c r="AG31" s="352">
        <v>40</v>
      </c>
      <c r="AH31" s="873" t="s">
        <v>183</v>
      </c>
      <c r="AI31" s="873"/>
      <c r="AJ31" s="140" t="s">
        <v>184</v>
      </c>
      <c r="AK31" s="18" t="s">
        <v>122</v>
      </c>
      <c r="AL31" s="210">
        <v>15</v>
      </c>
      <c r="AM31" s="210">
        <v>56</v>
      </c>
      <c r="AN31" s="210">
        <v>30</v>
      </c>
      <c r="AO31" s="211"/>
      <c r="AP31" s="210">
        <v>12</v>
      </c>
      <c r="AQ31" s="210">
        <v>93</v>
      </c>
      <c r="AR31" s="210">
        <v>29</v>
      </c>
      <c r="AS31" s="873" t="s">
        <v>183</v>
      </c>
      <c r="AT31" s="873"/>
      <c r="AU31" s="140" t="s">
        <v>184</v>
      </c>
      <c r="AV31" s="18" t="s">
        <v>122</v>
      </c>
      <c r="AW31" s="210">
        <v>17</v>
      </c>
      <c r="AX31" s="210">
        <v>67</v>
      </c>
      <c r="AY31" s="210">
        <v>39</v>
      </c>
      <c r="AZ31" s="211"/>
      <c r="BA31" s="210">
        <v>17</v>
      </c>
      <c r="BB31" s="210">
        <v>84</v>
      </c>
      <c r="BC31" s="210">
        <v>39</v>
      </c>
      <c r="BD31" s="873" t="s">
        <v>183</v>
      </c>
      <c r="BE31" s="873"/>
      <c r="BF31" s="140" t="s">
        <v>184</v>
      </c>
      <c r="BG31" s="18" t="s">
        <v>122</v>
      </c>
      <c r="BH31" s="352">
        <v>25</v>
      </c>
      <c r="BI31" s="352">
        <v>190</v>
      </c>
      <c r="BJ31" s="352">
        <v>80</v>
      </c>
      <c r="BK31" s="354"/>
      <c r="BL31" s="352">
        <v>22</v>
      </c>
      <c r="BM31" s="352">
        <v>194</v>
      </c>
      <c r="BN31" s="352">
        <v>80</v>
      </c>
      <c r="BO31" s="873" t="s">
        <v>183</v>
      </c>
      <c r="BP31" s="873"/>
      <c r="BQ31" s="140" t="s">
        <v>184</v>
      </c>
      <c r="BR31" s="18" t="s">
        <v>122</v>
      </c>
      <c r="BS31" s="352">
        <v>24</v>
      </c>
      <c r="BT31" s="352">
        <v>124</v>
      </c>
      <c r="BU31" s="352">
        <v>54</v>
      </c>
      <c r="BV31" s="354"/>
      <c r="BW31" s="352">
        <v>19</v>
      </c>
      <c r="BX31" s="352">
        <v>122</v>
      </c>
      <c r="BY31" s="352">
        <v>55</v>
      </c>
      <c r="BZ31" s="670"/>
      <c r="CA31" s="670"/>
      <c r="CB31" s="241"/>
      <c r="CC31" s="20"/>
      <c r="CD31" s="242"/>
      <c r="CE31" s="242"/>
      <c r="CF31" s="242"/>
      <c r="CG31" s="242"/>
      <c r="CH31" s="242"/>
      <c r="CI31" s="242"/>
      <c r="CJ31" s="242"/>
    </row>
    <row r="32" spans="1:88" ht="21" customHeight="1" x14ac:dyDescent="0.25">
      <c r="A32" s="873" t="s">
        <v>185</v>
      </c>
      <c r="B32" s="873"/>
      <c r="C32" s="141" t="s">
        <v>186</v>
      </c>
      <c r="D32" s="142" t="s">
        <v>135</v>
      </c>
      <c r="E32" s="210">
        <v>333</v>
      </c>
      <c r="F32" s="210">
        <v>625</v>
      </c>
      <c r="G32" s="210">
        <v>394</v>
      </c>
      <c r="H32" s="215"/>
      <c r="I32" s="210">
        <v>340</v>
      </c>
      <c r="J32" s="210">
        <v>1355</v>
      </c>
      <c r="K32" s="210">
        <v>554</v>
      </c>
      <c r="L32" s="873" t="s">
        <v>185</v>
      </c>
      <c r="M32" s="873"/>
      <c r="N32" s="141" t="s">
        <v>186</v>
      </c>
      <c r="O32" s="142" t="s">
        <v>135</v>
      </c>
      <c r="P32" s="67">
        <v>443</v>
      </c>
      <c r="Q32" s="511">
        <v>1430</v>
      </c>
      <c r="R32" s="511">
        <v>866</v>
      </c>
      <c r="S32" s="513"/>
      <c r="T32" s="511">
        <v>440</v>
      </c>
      <c r="U32" s="511">
        <v>1450</v>
      </c>
      <c r="V32" s="511">
        <v>871</v>
      </c>
      <c r="W32" s="873" t="s">
        <v>185</v>
      </c>
      <c r="X32" s="873"/>
      <c r="Y32" s="141" t="s">
        <v>186</v>
      </c>
      <c r="Z32" s="142" t="s">
        <v>135</v>
      </c>
      <c r="AA32" s="352">
        <v>754</v>
      </c>
      <c r="AB32" s="352">
        <v>5200</v>
      </c>
      <c r="AC32" s="352">
        <v>1059</v>
      </c>
      <c r="AD32" s="357"/>
      <c r="AE32" s="358">
        <v>761</v>
      </c>
      <c r="AF32" s="358">
        <v>5170</v>
      </c>
      <c r="AG32" s="358">
        <v>1421</v>
      </c>
      <c r="AH32" s="873" t="s">
        <v>185</v>
      </c>
      <c r="AI32" s="873"/>
      <c r="AJ32" s="141" t="s">
        <v>186</v>
      </c>
      <c r="AK32" s="142" t="s">
        <v>135</v>
      </c>
      <c r="AL32" s="210">
        <v>726</v>
      </c>
      <c r="AM32" s="210">
        <v>3330</v>
      </c>
      <c r="AN32" s="210">
        <v>1035</v>
      </c>
      <c r="AO32" s="215"/>
      <c r="AP32" s="216">
        <v>714</v>
      </c>
      <c r="AQ32" s="216">
        <v>3350</v>
      </c>
      <c r="AR32" s="216">
        <v>1015</v>
      </c>
      <c r="AS32" s="873" t="s">
        <v>185</v>
      </c>
      <c r="AT32" s="873"/>
      <c r="AU32" s="141" t="s">
        <v>186</v>
      </c>
      <c r="AV32" s="142" t="s">
        <v>135</v>
      </c>
      <c r="AW32" s="210">
        <v>754</v>
      </c>
      <c r="AX32" s="210">
        <v>1727</v>
      </c>
      <c r="AY32" s="210">
        <v>1234</v>
      </c>
      <c r="AZ32" s="215"/>
      <c r="BA32" s="216">
        <v>754</v>
      </c>
      <c r="BB32" s="216">
        <v>1740</v>
      </c>
      <c r="BC32" s="216">
        <v>1234</v>
      </c>
      <c r="BD32" s="873" t="s">
        <v>185</v>
      </c>
      <c r="BE32" s="873"/>
      <c r="BF32" s="141" t="s">
        <v>186</v>
      </c>
      <c r="BG32" s="142" t="s">
        <v>135</v>
      </c>
      <c r="BH32" s="352">
        <v>1067</v>
      </c>
      <c r="BI32" s="352">
        <v>6968</v>
      </c>
      <c r="BJ32" s="352">
        <v>2579</v>
      </c>
      <c r="BK32" s="357"/>
      <c r="BL32" s="358">
        <v>1083</v>
      </c>
      <c r="BM32" s="358">
        <v>7862</v>
      </c>
      <c r="BN32" s="358">
        <v>2592</v>
      </c>
      <c r="BO32" s="873" t="s">
        <v>185</v>
      </c>
      <c r="BP32" s="873"/>
      <c r="BQ32" s="141" t="s">
        <v>186</v>
      </c>
      <c r="BR32" s="142" t="s">
        <v>135</v>
      </c>
      <c r="BS32" s="352">
        <v>1064</v>
      </c>
      <c r="BT32" s="352">
        <v>3250</v>
      </c>
      <c r="BU32" s="352">
        <v>1822</v>
      </c>
      <c r="BV32" s="357"/>
      <c r="BW32" s="358">
        <v>1134</v>
      </c>
      <c r="BX32" s="358">
        <v>3270</v>
      </c>
      <c r="BY32" s="358">
        <v>1826</v>
      </c>
      <c r="BZ32" s="670"/>
      <c r="CA32" s="670"/>
      <c r="CB32" s="241"/>
      <c r="CC32" s="20"/>
      <c r="CD32" s="242"/>
      <c r="CE32" s="242"/>
      <c r="CF32" s="242"/>
      <c r="CG32" s="242"/>
      <c r="CH32" s="242"/>
      <c r="CI32" s="242"/>
      <c r="CJ32" s="242"/>
    </row>
    <row r="33" spans="1:88" ht="21" customHeight="1" x14ac:dyDescent="0.25">
      <c r="A33" s="870" t="s">
        <v>187</v>
      </c>
      <c r="B33" s="870"/>
      <c r="C33" s="140" t="s">
        <v>188</v>
      </c>
      <c r="D33" s="18" t="s">
        <v>122</v>
      </c>
      <c r="E33" s="215">
        <v>6.2</v>
      </c>
      <c r="F33" s="216">
        <v>30</v>
      </c>
      <c r="G33" s="216">
        <v>10</v>
      </c>
      <c r="H33" s="215"/>
      <c r="I33" s="210">
        <v>6</v>
      </c>
      <c r="J33" s="210">
        <v>122</v>
      </c>
      <c r="K33" s="210">
        <v>22</v>
      </c>
      <c r="L33" s="870" t="s">
        <v>187</v>
      </c>
      <c r="M33" s="870"/>
      <c r="N33" s="140" t="s">
        <v>188</v>
      </c>
      <c r="O33" s="18" t="s">
        <v>122</v>
      </c>
      <c r="P33" s="67">
        <v>27</v>
      </c>
      <c r="Q33" s="431">
        <v>110</v>
      </c>
      <c r="R33" s="67">
        <v>59</v>
      </c>
      <c r="S33" s="219"/>
      <c r="T33" s="67">
        <v>27</v>
      </c>
      <c r="U33" s="431">
        <v>108</v>
      </c>
      <c r="V33" s="434">
        <v>58</v>
      </c>
      <c r="W33" s="870" t="s">
        <v>187</v>
      </c>
      <c r="X33" s="870"/>
      <c r="Y33" s="140" t="s">
        <v>188</v>
      </c>
      <c r="Z33" s="18" t="s">
        <v>122</v>
      </c>
      <c r="AA33" s="352">
        <v>32</v>
      </c>
      <c r="AB33" s="352">
        <v>682</v>
      </c>
      <c r="AC33" s="352">
        <v>72</v>
      </c>
      <c r="AD33" s="357"/>
      <c r="AE33" s="358">
        <v>32</v>
      </c>
      <c r="AF33" s="358">
        <v>682</v>
      </c>
      <c r="AG33" s="358">
        <v>121</v>
      </c>
      <c r="AH33" s="870" t="s">
        <v>187</v>
      </c>
      <c r="AI33" s="870"/>
      <c r="AJ33" s="140" t="s">
        <v>188</v>
      </c>
      <c r="AK33" s="18" t="s">
        <v>122</v>
      </c>
      <c r="AL33" s="67">
        <v>40</v>
      </c>
      <c r="AM33" s="67">
        <v>369</v>
      </c>
      <c r="AN33" s="67">
        <v>85</v>
      </c>
      <c r="AO33" s="215"/>
      <c r="AP33" s="67">
        <v>43</v>
      </c>
      <c r="AQ33" s="67">
        <v>396</v>
      </c>
      <c r="AR33" s="67">
        <v>82</v>
      </c>
      <c r="AS33" s="870" t="s">
        <v>187</v>
      </c>
      <c r="AT33" s="870"/>
      <c r="AU33" s="140" t="s">
        <v>188</v>
      </c>
      <c r="AV33" s="18" t="s">
        <v>122</v>
      </c>
      <c r="AW33" s="210">
        <v>39</v>
      </c>
      <c r="AX33" s="210">
        <v>152</v>
      </c>
      <c r="AY33" s="210">
        <v>88</v>
      </c>
      <c r="AZ33" s="215"/>
      <c r="BA33" s="216">
        <v>41</v>
      </c>
      <c r="BB33" s="216">
        <v>133</v>
      </c>
      <c r="BC33" s="216">
        <v>86</v>
      </c>
      <c r="BD33" s="870" t="s">
        <v>187</v>
      </c>
      <c r="BE33" s="870"/>
      <c r="BF33" s="140" t="s">
        <v>188</v>
      </c>
      <c r="BG33" s="18" t="s">
        <v>122</v>
      </c>
      <c r="BH33" s="352">
        <v>90</v>
      </c>
      <c r="BI33" s="352">
        <v>741</v>
      </c>
      <c r="BJ33" s="352">
        <v>283</v>
      </c>
      <c r="BK33" s="357"/>
      <c r="BL33" s="358">
        <v>91</v>
      </c>
      <c r="BM33" s="358">
        <v>745</v>
      </c>
      <c r="BN33" s="358">
        <v>285</v>
      </c>
      <c r="BO33" s="870" t="s">
        <v>187</v>
      </c>
      <c r="BP33" s="870"/>
      <c r="BQ33" s="140" t="s">
        <v>188</v>
      </c>
      <c r="BR33" s="18" t="s">
        <v>122</v>
      </c>
      <c r="BS33" s="219" t="s">
        <v>456</v>
      </c>
      <c r="BT33" s="219" t="s">
        <v>456</v>
      </c>
      <c r="BU33" s="219" t="s">
        <v>456</v>
      </c>
      <c r="BV33" s="219"/>
      <c r="BW33" s="219" t="s">
        <v>456</v>
      </c>
      <c r="BX33" s="219" t="s">
        <v>456</v>
      </c>
      <c r="BY33" s="219" t="s">
        <v>456</v>
      </c>
      <c r="BZ33" s="669"/>
      <c r="CA33" s="669"/>
      <c r="CB33" s="241"/>
      <c r="CC33" s="20"/>
      <c r="CD33" s="242"/>
      <c r="CE33" s="242"/>
      <c r="CF33" s="242"/>
      <c r="CG33" s="242"/>
      <c r="CH33" s="242"/>
      <c r="CI33" s="242"/>
      <c r="CJ33" s="242"/>
    </row>
    <row r="34" spans="1:88" ht="21" customHeight="1" x14ac:dyDescent="0.25">
      <c r="A34" s="870" t="s">
        <v>189</v>
      </c>
      <c r="B34" s="870"/>
      <c r="C34" s="140" t="s">
        <v>190</v>
      </c>
      <c r="D34" s="18" t="s">
        <v>122</v>
      </c>
      <c r="E34" s="215">
        <v>1.4</v>
      </c>
      <c r="F34" s="215">
        <v>3.5</v>
      </c>
      <c r="G34" s="215">
        <v>1.6</v>
      </c>
      <c r="H34" s="215"/>
      <c r="I34" s="215">
        <v>0.5</v>
      </c>
      <c r="J34" s="216">
        <v>4</v>
      </c>
      <c r="K34" s="215">
        <v>1.5</v>
      </c>
      <c r="L34" s="870" t="s">
        <v>189</v>
      </c>
      <c r="M34" s="870"/>
      <c r="N34" s="140" t="s">
        <v>190</v>
      </c>
      <c r="O34" s="18" t="s">
        <v>122</v>
      </c>
      <c r="P34" s="67">
        <v>2</v>
      </c>
      <c r="Q34" s="431">
        <v>8.1</v>
      </c>
      <c r="R34" s="67">
        <v>3.8</v>
      </c>
      <c r="S34" s="219"/>
      <c r="T34" s="67">
        <v>2</v>
      </c>
      <c r="U34" s="431">
        <v>8</v>
      </c>
      <c r="V34" s="434">
        <v>3.7</v>
      </c>
      <c r="W34" s="870" t="s">
        <v>189</v>
      </c>
      <c r="X34" s="870"/>
      <c r="Y34" s="140" t="s">
        <v>190</v>
      </c>
      <c r="Z34" s="18" t="s">
        <v>122</v>
      </c>
      <c r="AA34" s="354">
        <v>1.3</v>
      </c>
      <c r="AB34" s="354">
        <v>12.3</v>
      </c>
      <c r="AC34" s="354">
        <v>3.2</v>
      </c>
      <c r="AD34" s="357"/>
      <c r="AE34" s="357">
        <v>1.4</v>
      </c>
      <c r="AF34" s="357">
        <v>11.7</v>
      </c>
      <c r="AG34" s="358">
        <v>5</v>
      </c>
      <c r="AH34" s="870" t="s">
        <v>189</v>
      </c>
      <c r="AI34" s="870"/>
      <c r="AJ34" s="140" t="s">
        <v>190</v>
      </c>
      <c r="AK34" s="18" t="s">
        <v>122</v>
      </c>
      <c r="AL34" s="67">
        <v>2.1</v>
      </c>
      <c r="AM34" s="67">
        <v>7.9</v>
      </c>
      <c r="AN34" s="67">
        <v>3</v>
      </c>
      <c r="AO34" s="215"/>
      <c r="AP34" s="67">
        <v>2.1</v>
      </c>
      <c r="AQ34" s="67">
        <v>7.9</v>
      </c>
      <c r="AR34" s="67">
        <v>2.9</v>
      </c>
      <c r="AS34" s="870" t="s">
        <v>189</v>
      </c>
      <c r="AT34" s="870"/>
      <c r="AU34" s="140" t="s">
        <v>190</v>
      </c>
      <c r="AV34" s="18" t="s">
        <v>122</v>
      </c>
      <c r="AW34" s="211">
        <v>2.4</v>
      </c>
      <c r="AX34" s="210">
        <v>10</v>
      </c>
      <c r="AY34" s="211">
        <v>4.7</v>
      </c>
      <c r="AZ34" s="215"/>
      <c r="BA34" s="215">
        <v>2.4</v>
      </c>
      <c r="BB34" s="215">
        <v>8.8000000000000007</v>
      </c>
      <c r="BC34" s="215">
        <v>4.8</v>
      </c>
      <c r="BD34" s="870" t="s">
        <v>189</v>
      </c>
      <c r="BE34" s="870"/>
      <c r="BF34" s="140" t="s">
        <v>190</v>
      </c>
      <c r="BG34" s="18" t="s">
        <v>122</v>
      </c>
      <c r="BH34" s="354">
        <v>3.5</v>
      </c>
      <c r="BI34" s="354">
        <v>25.6</v>
      </c>
      <c r="BJ34" s="354">
        <v>8.3000000000000007</v>
      </c>
      <c r="BK34" s="359"/>
      <c r="BL34" s="357">
        <v>3.5</v>
      </c>
      <c r="BM34" s="357">
        <v>25.3</v>
      </c>
      <c r="BN34" s="357">
        <v>8.3000000000000007</v>
      </c>
      <c r="BO34" s="870" t="s">
        <v>189</v>
      </c>
      <c r="BP34" s="870"/>
      <c r="BQ34" s="140" t="s">
        <v>190</v>
      </c>
      <c r="BR34" s="18" t="s">
        <v>122</v>
      </c>
      <c r="BS34" s="219" t="s">
        <v>456</v>
      </c>
      <c r="BT34" s="219" t="s">
        <v>456</v>
      </c>
      <c r="BU34" s="219" t="s">
        <v>456</v>
      </c>
      <c r="BV34" s="219"/>
      <c r="BW34" s="219" t="s">
        <v>456</v>
      </c>
      <c r="BX34" s="219" t="s">
        <v>456</v>
      </c>
      <c r="BY34" s="219" t="s">
        <v>456</v>
      </c>
      <c r="BZ34" s="669"/>
      <c r="CA34" s="669"/>
      <c r="CB34" s="241"/>
      <c r="CC34" s="20"/>
      <c r="CD34" s="242"/>
      <c r="CE34" s="242"/>
      <c r="CF34" s="242"/>
      <c r="CG34" s="242"/>
      <c r="CH34" s="242"/>
      <c r="CI34" s="242"/>
      <c r="CJ34" s="242"/>
    </row>
    <row r="35" spans="1:88" ht="21" customHeight="1" thickBot="1" x14ac:dyDescent="0.3">
      <c r="A35" s="871" t="s">
        <v>191</v>
      </c>
      <c r="B35" s="871"/>
      <c r="C35" s="143" t="s">
        <v>192</v>
      </c>
      <c r="D35" s="144" t="s">
        <v>122</v>
      </c>
      <c r="E35" s="217">
        <v>24</v>
      </c>
      <c r="F35" s="217">
        <v>140</v>
      </c>
      <c r="G35" s="217">
        <v>32</v>
      </c>
      <c r="H35" s="218"/>
      <c r="I35" s="217">
        <v>10</v>
      </c>
      <c r="J35" s="217">
        <v>47</v>
      </c>
      <c r="K35" s="217">
        <v>84</v>
      </c>
      <c r="L35" s="871" t="s">
        <v>191</v>
      </c>
      <c r="M35" s="871"/>
      <c r="N35" s="143" t="s">
        <v>192</v>
      </c>
      <c r="O35" s="144" t="s">
        <v>122</v>
      </c>
      <c r="P35" s="67">
        <v>115</v>
      </c>
      <c r="Q35" s="431">
        <v>389</v>
      </c>
      <c r="R35" s="67">
        <v>241</v>
      </c>
      <c r="S35" s="220"/>
      <c r="T35" s="68">
        <v>110</v>
      </c>
      <c r="U35" s="512">
        <v>400</v>
      </c>
      <c r="V35" s="435">
        <v>241</v>
      </c>
      <c r="W35" s="661" t="s">
        <v>191</v>
      </c>
      <c r="X35" s="661"/>
      <c r="Y35" s="143" t="s">
        <v>192</v>
      </c>
      <c r="Z35" s="144" t="s">
        <v>122</v>
      </c>
      <c r="AA35" s="360">
        <v>149</v>
      </c>
      <c r="AB35" s="360">
        <v>1327</v>
      </c>
      <c r="AC35" s="360">
        <v>284</v>
      </c>
      <c r="AD35" s="361"/>
      <c r="AE35" s="360">
        <v>147</v>
      </c>
      <c r="AF35" s="360">
        <v>1336</v>
      </c>
      <c r="AG35" s="360">
        <v>396</v>
      </c>
      <c r="AH35" s="871" t="s">
        <v>191</v>
      </c>
      <c r="AI35" s="871"/>
      <c r="AJ35" s="143" t="s">
        <v>192</v>
      </c>
      <c r="AK35" s="144" t="s">
        <v>122</v>
      </c>
      <c r="AL35" s="217">
        <v>110</v>
      </c>
      <c r="AM35" s="217">
        <v>1046</v>
      </c>
      <c r="AN35" s="217">
        <v>249</v>
      </c>
      <c r="AO35" s="218"/>
      <c r="AP35" s="217">
        <v>108</v>
      </c>
      <c r="AQ35" s="217">
        <v>1068</v>
      </c>
      <c r="AR35" s="217">
        <v>241</v>
      </c>
      <c r="AS35" s="871" t="s">
        <v>191</v>
      </c>
      <c r="AT35" s="871"/>
      <c r="AU35" s="143" t="s">
        <v>192</v>
      </c>
      <c r="AV35" s="144" t="s">
        <v>122</v>
      </c>
      <c r="AW35" s="217">
        <v>191</v>
      </c>
      <c r="AX35" s="217">
        <v>435</v>
      </c>
      <c r="AY35" s="217">
        <v>309</v>
      </c>
      <c r="AZ35" s="218"/>
      <c r="BA35" s="217">
        <v>193</v>
      </c>
      <c r="BB35" s="217">
        <v>439</v>
      </c>
      <c r="BC35" s="217">
        <v>308</v>
      </c>
      <c r="BD35" s="871" t="s">
        <v>191</v>
      </c>
      <c r="BE35" s="871"/>
      <c r="BF35" s="143" t="s">
        <v>192</v>
      </c>
      <c r="BG35" s="144" t="s">
        <v>122</v>
      </c>
      <c r="BH35" s="360">
        <v>234</v>
      </c>
      <c r="BI35" s="360">
        <v>1197</v>
      </c>
      <c r="BJ35" s="360">
        <v>544</v>
      </c>
      <c r="BK35" s="361"/>
      <c r="BL35" s="360">
        <v>228</v>
      </c>
      <c r="BM35" s="360">
        <v>1194</v>
      </c>
      <c r="BN35" s="360">
        <v>544</v>
      </c>
      <c r="BO35" s="871" t="s">
        <v>191</v>
      </c>
      <c r="BP35" s="871"/>
      <c r="BQ35" s="143" t="s">
        <v>192</v>
      </c>
      <c r="BR35" s="144" t="s">
        <v>122</v>
      </c>
      <c r="BS35" s="360">
        <v>280</v>
      </c>
      <c r="BT35" s="360">
        <v>1124</v>
      </c>
      <c r="BU35" s="360">
        <v>520</v>
      </c>
      <c r="BV35" s="361"/>
      <c r="BW35" s="360">
        <v>284</v>
      </c>
      <c r="BX35" s="360">
        <v>1126</v>
      </c>
      <c r="BY35" s="360">
        <v>520</v>
      </c>
      <c r="BZ35" s="669"/>
      <c r="CA35" s="669"/>
      <c r="CB35" s="241"/>
      <c r="CC35" s="20"/>
      <c r="CD35" s="242"/>
      <c r="CE35" s="242"/>
      <c r="CF35" s="242"/>
      <c r="CG35" s="242"/>
      <c r="CH35" s="242"/>
      <c r="CI35" s="242"/>
      <c r="CJ35" s="242"/>
    </row>
    <row r="36" spans="1:88" s="163" customFormat="1" ht="25.5" customHeight="1" thickTop="1" x14ac:dyDescent="0.25">
      <c r="A36" s="817" t="s">
        <v>328</v>
      </c>
      <c r="B36" s="817"/>
      <c r="C36" s="817"/>
      <c r="D36" s="817"/>
      <c r="E36" s="817"/>
      <c r="F36" s="817"/>
      <c r="G36" s="817"/>
      <c r="H36" s="817"/>
      <c r="I36" s="817"/>
      <c r="J36" s="817"/>
      <c r="K36" s="162" t="s">
        <v>92</v>
      </c>
      <c r="L36" s="672" t="s">
        <v>328</v>
      </c>
      <c r="M36" s="672"/>
      <c r="N36" s="672"/>
      <c r="O36" s="672"/>
      <c r="P36" s="672"/>
      <c r="Q36" s="672"/>
      <c r="R36" s="672"/>
      <c r="S36" s="672"/>
      <c r="T36" s="108"/>
      <c r="U36" s="436"/>
      <c r="V36" s="162" t="s">
        <v>92</v>
      </c>
      <c r="W36" s="817" t="s">
        <v>328</v>
      </c>
      <c r="X36" s="817"/>
      <c r="Y36" s="817"/>
      <c r="Z36" s="817"/>
      <c r="AA36" s="817"/>
      <c r="AB36" s="817"/>
      <c r="AC36" s="817"/>
      <c r="AD36" s="817"/>
      <c r="AE36" s="817"/>
      <c r="AF36" s="817"/>
      <c r="AG36" s="162" t="s">
        <v>92</v>
      </c>
      <c r="AH36" s="673" t="s">
        <v>328</v>
      </c>
      <c r="AI36" s="673"/>
      <c r="AJ36" s="673"/>
      <c r="AK36" s="673"/>
      <c r="AL36" s="673"/>
      <c r="AM36" s="673"/>
      <c r="AN36" s="673"/>
      <c r="AO36" s="673"/>
      <c r="AP36" s="673"/>
      <c r="AQ36" s="108"/>
      <c r="AR36" s="162" t="s">
        <v>92</v>
      </c>
      <c r="AS36" s="817" t="s">
        <v>328</v>
      </c>
      <c r="AT36" s="817"/>
      <c r="AU36" s="817"/>
      <c r="AV36" s="817"/>
      <c r="AW36" s="817"/>
      <c r="AX36" s="817"/>
      <c r="AY36" s="817"/>
      <c r="AZ36" s="817"/>
      <c r="BA36" s="817"/>
      <c r="BB36" s="817"/>
      <c r="BC36" s="162" t="s">
        <v>92</v>
      </c>
      <c r="BD36" s="817" t="s">
        <v>328</v>
      </c>
      <c r="BE36" s="817"/>
      <c r="BF36" s="817"/>
      <c r="BG36" s="817"/>
      <c r="BH36" s="817"/>
      <c r="BI36" s="817"/>
      <c r="BJ36" s="817"/>
      <c r="BK36" s="817"/>
      <c r="BL36" s="817"/>
      <c r="BM36" s="817"/>
      <c r="BN36" s="162" t="s">
        <v>92</v>
      </c>
      <c r="BO36" s="672" t="s">
        <v>321</v>
      </c>
      <c r="BP36" s="672"/>
      <c r="BQ36" s="672"/>
      <c r="BR36" s="672"/>
      <c r="BS36" s="108"/>
      <c r="BT36" s="108"/>
      <c r="BU36" s="108"/>
      <c r="BV36" s="108"/>
      <c r="BW36" s="108"/>
      <c r="BX36" s="108"/>
      <c r="BY36" s="162" t="s">
        <v>92</v>
      </c>
      <c r="BZ36" s="669"/>
      <c r="CA36" s="669"/>
      <c r="CB36" s="129"/>
      <c r="CC36" s="130"/>
      <c r="CD36" s="108"/>
      <c r="CE36" s="108"/>
      <c r="CF36" s="108"/>
      <c r="CG36" s="108"/>
      <c r="CH36" s="108"/>
      <c r="CI36" s="108"/>
      <c r="CJ36" s="243"/>
    </row>
    <row r="37" spans="1:88" ht="20.25" customHeight="1" x14ac:dyDescent="0.25">
      <c r="A37" s="655"/>
      <c r="B37" s="655"/>
      <c r="C37" s="655"/>
      <c r="D37" s="655"/>
      <c r="E37" s="655"/>
      <c r="F37" s="655"/>
      <c r="G37" s="655"/>
      <c r="H37" s="655"/>
      <c r="I37" s="655"/>
      <c r="J37" s="655"/>
      <c r="L37" s="655"/>
      <c r="M37" s="655"/>
      <c r="N37" s="655"/>
      <c r="O37" s="655"/>
      <c r="P37" s="655"/>
      <c r="Q37" s="655"/>
      <c r="R37" s="655"/>
      <c r="S37" s="655"/>
      <c r="T37" s="655"/>
      <c r="U37" s="437"/>
      <c r="V37" s="655"/>
      <c r="AF37" s="655"/>
      <c r="AH37" s="655"/>
      <c r="AI37" s="655"/>
      <c r="AJ37" s="655"/>
      <c r="AK37" s="655"/>
      <c r="AL37" s="655"/>
      <c r="AM37" s="655"/>
      <c r="AN37" s="655"/>
      <c r="AO37" s="655"/>
      <c r="AP37" s="655"/>
      <c r="AQ37" s="655"/>
      <c r="BB37" s="655"/>
      <c r="BM37" s="655"/>
      <c r="BO37" s="875" t="s">
        <v>328</v>
      </c>
      <c r="BP37" s="875"/>
      <c r="BQ37" s="875"/>
      <c r="BR37" s="875"/>
      <c r="BS37" s="875"/>
      <c r="BT37" s="875"/>
      <c r="BU37" s="875"/>
      <c r="BV37" s="875"/>
      <c r="BW37" s="875"/>
      <c r="BX37" s="875"/>
      <c r="CI37" s="655"/>
    </row>
    <row r="38" spans="1:88" ht="18" customHeight="1" x14ac:dyDescent="0.25">
      <c r="A38" s="659" t="s">
        <v>230</v>
      </c>
      <c r="B38" s="659"/>
      <c r="C38" s="659"/>
      <c r="D38" s="659"/>
      <c r="E38" s="146"/>
      <c r="F38" s="146"/>
      <c r="G38" s="164"/>
      <c r="H38" s="164"/>
      <c r="I38" s="164"/>
      <c r="J38" s="164"/>
      <c r="K38" s="588">
        <v>41</v>
      </c>
      <c r="L38" s="659" t="s">
        <v>230</v>
      </c>
      <c r="M38" s="659"/>
      <c r="N38" s="659"/>
      <c r="O38" s="659"/>
      <c r="P38" s="659"/>
      <c r="Q38" s="659"/>
      <c r="R38" s="164"/>
      <c r="S38" s="164"/>
      <c r="T38" s="164"/>
      <c r="U38" s="439"/>
      <c r="V38" s="588">
        <v>42</v>
      </c>
      <c r="W38" s="659" t="s">
        <v>230</v>
      </c>
      <c r="X38" s="659"/>
      <c r="Y38" s="659"/>
      <c r="Z38" s="659"/>
      <c r="AA38" s="659"/>
      <c r="AB38" s="659"/>
      <c r="AC38" s="164"/>
      <c r="AD38" s="164"/>
      <c r="AE38" s="164"/>
      <c r="AF38" s="164"/>
      <c r="AG38" s="588">
        <v>43</v>
      </c>
      <c r="AH38" s="659" t="s">
        <v>230</v>
      </c>
      <c r="AI38" s="659"/>
      <c r="AJ38" s="659"/>
      <c r="AK38" s="659"/>
      <c r="AL38" s="659"/>
      <c r="AM38" s="659"/>
      <c r="AN38" s="164"/>
      <c r="AO38" s="164"/>
      <c r="AP38" s="164"/>
      <c r="AQ38" s="164"/>
      <c r="AR38" s="588">
        <v>44</v>
      </c>
      <c r="AS38" s="659" t="s">
        <v>230</v>
      </c>
      <c r="AT38" s="659"/>
      <c r="AU38" s="659"/>
      <c r="AV38" s="659"/>
      <c r="AW38" s="659"/>
      <c r="AX38" s="659"/>
      <c r="AY38" s="164"/>
      <c r="AZ38" s="164"/>
      <c r="BA38" s="164"/>
      <c r="BB38" s="164"/>
      <c r="BC38" s="588">
        <v>45</v>
      </c>
      <c r="BD38" s="659" t="s">
        <v>230</v>
      </c>
      <c r="BE38" s="659"/>
      <c r="BF38" s="659"/>
      <c r="BG38" s="659"/>
      <c r="BH38" s="659"/>
      <c r="BI38" s="659"/>
      <c r="BJ38" s="164"/>
      <c r="BK38" s="164"/>
      <c r="BL38" s="164"/>
      <c r="BM38" s="164"/>
      <c r="BN38" s="588">
        <v>46</v>
      </c>
      <c r="BO38" s="659" t="s">
        <v>230</v>
      </c>
      <c r="BP38" s="659"/>
      <c r="BQ38" s="659"/>
      <c r="BR38" s="659"/>
      <c r="BS38" s="659"/>
      <c r="BT38" s="659"/>
      <c r="BU38" s="164"/>
      <c r="BV38" s="164"/>
      <c r="BW38" s="164"/>
      <c r="BX38" s="164"/>
      <c r="BY38" s="588">
        <v>47</v>
      </c>
      <c r="BZ38" s="659" t="s">
        <v>230</v>
      </c>
      <c r="CA38" s="659"/>
      <c r="CB38" s="659"/>
      <c r="CC38" s="659"/>
      <c r="CD38" s="659"/>
      <c r="CE38" s="659"/>
      <c r="CF38" s="164"/>
      <c r="CG38" s="164"/>
      <c r="CH38" s="164"/>
      <c r="CI38" s="164"/>
      <c r="CJ38" s="588">
        <v>48</v>
      </c>
    </row>
  </sheetData>
  <mergeCells count="290">
    <mergeCell ref="A36:J36"/>
    <mergeCell ref="W36:AF36"/>
    <mergeCell ref="AS36:BB36"/>
    <mergeCell ref="BD36:BM36"/>
    <mergeCell ref="BO37:BX37"/>
    <mergeCell ref="L19:V19"/>
    <mergeCell ref="L21:V21"/>
    <mergeCell ref="W19:AG19"/>
    <mergeCell ref="A21:K21"/>
    <mergeCell ref="A24:B24"/>
    <mergeCell ref="A25:B25"/>
    <mergeCell ref="A26:B26"/>
    <mergeCell ref="L27:M27"/>
    <mergeCell ref="L28:M28"/>
    <mergeCell ref="A32:B32"/>
    <mergeCell ref="A33:B33"/>
    <mergeCell ref="A34:B34"/>
    <mergeCell ref="A35:B35"/>
    <mergeCell ref="A27:B27"/>
    <mergeCell ref="A28:B28"/>
    <mergeCell ref="A29:B29"/>
    <mergeCell ref="A30:B30"/>
    <mergeCell ref="A31:B31"/>
    <mergeCell ref="L34:M34"/>
    <mergeCell ref="L1:V1"/>
    <mergeCell ref="L3:V3"/>
    <mergeCell ref="A1:K1"/>
    <mergeCell ref="A3:K3"/>
    <mergeCell ref="A19:K19"/>
    <mergeCell ref="A2:K2"/>
    <mergeCell ref="A20:K20"/>
    <mergeCell ref="L2:V2"/>
    <mergeCell ref="L20:V20"/>
    <mergeCell ref="L10:M10"/>
    <mergeCell ref="L11:M11"/>
    <mergeCell ref="L12:M12"/>
    <mergeCell ref="L13:M13"/>
    <mergeCell ref="L14:M14"/>
    <mergeCell ref="L15:M15"/>
    <mergeCell ref="L16:M16"/>
    <mergeCell ref="L17:M17"/>
    <mergeCell ref="A16:B16"/>
    <mergeCell ref="A4:B5"/>
    <mergeCell ref="D4:D5"/>
    <mergeCell ref="E4:G4"/>
    <mergeCell ref="I4:K4"/>
    <mergeCell ref="L4:M5"/>
    <mergeCell ref="O4:O5"/>
    <mergeCell ref="W2:AG2"/>
    <mergeCell ref="W20:AG20"/>
    <mergeCell ref="W21:AG21"/>
    <mergeCell ref="BO19:BY19"/>
    <mergeCell ref="BD19:BN19"/>
    <mergeCell ref="BD21:BN21"/>
    <mergeCell ref="AH1:AR1"/>
    <mergeCell ref="AH3:AR3"/>
    <mergeCell ref="BO21:BY21"/>
    <mergeCell ref="BO20:BY20"/>
    <mergeCell ref="BD1:BN1"/>
    <mergeCell ref="BD3:BN3"/>
    <mergeCell ref="BD2:BN2"/>
    <mergeCell ref="BO2:BY2"/>
    <mergeCell ref="BO1:BY1"/>
    <mergeCell ref="BO3:BY3"/>
    <mergeCell ref="BD20:BN20"/>
    <mergeCell ref="AS19:BC19"/>
    <mergeCell ref="AS21:BC21"/>
    <mergeCell ref="AH21:AR21"/>
    <mergeCell ref="AH2:AR2"/>
    <mergeCell ref="AH20:AR20"/>
    <mergeCell ref="AS2:BC2"/>
    <mergeCell ref="AS20:BC20"/>
    <mergeCell ref="AS1:BC1"/>
    <mergeCell ref="AS3:BC3"/>
    <mergeCell ref="AH19:AR19"/>
    <mergeCell ref="A6:B6"/>
    <mergeCell ref="A7:B7"/>
    <mergeCell ref="A8:B8"/>
    <mergeCell ref="A9:B9"/>
    <mergeCell ref="A10:B10"/>
    <mergeCell ref="BZ1:CJ1"/>
    <mergeCell ref="BZ3:CJ3"/>
    <mergeCell ref="BZ2:CJ2"/>
    <mergeCell ref="BZ18:CH18"/>
    <mergeCell ref="W1:AG1"/>
    <mergeCell ref="W3:AG3"/>
    <mergeCell ref="A17:B17"/>
    <mergeCell ref="A11:B11"/>
    <mergeCell ref="A12:B12"/>
    <mergeCell ref="A13:B13"/>
    <mergeCell ref="A14:B14"/>
    <mergeCell ref="A15:B15"/>
    <mergeCell ref="L6:M6"/>
    <mergeCell ref="L7:M7"/>
    <mergeCell ref="L8:M8"/>
    <mergeCell ref="L9:M9"/>
    <mergeCell ref="L35:M35"/>
    <mergeCell ref="W6:X6"/>
    <mergeCell ref="W7:X7"/>
    <mergeCell ref="W8:X8"/>
    <mergeCell ref="W9:X9"/>
    <mergeCell ref="W10:X10"/>
    <mergeCell ref="W11:X11"/>
    <mergeCell ref="W12:X12"/>
    <mergeCell ref="W13:X13"/>
    <mergeCell ref="W14:X14"/>
    <mergeCell ref="W15:X15"/>
    <mergeCell ref="W16:X16"/>
    <mergeCell ref="W17:X17"/>
    <mergeCell ref="W24:X24"/>
    <mergeCell ref="W25:X25"/>
    <mergeCell ref="L29:M29"/>
    <mergeCell ref="L30:M30"/>
    <mergeCell ref="L31:M31"/>
    <mergeCell ref="L32:M32"/>
    <mergeCell ref="L33:M33"/>
    <mergeCell ref="L24:M24"/>
    <mergeCell ref="L25:M25"/>
    <mergeCell ref="L26:M26"/>
    <mergeCell ref="W22:X23"/>
    <mergeCell ref="AH27:AI27"/>
    <mergeCell ref="AH28:AI28"/>
    <mergeCell ref="W31:X31"/>
    <mergeCell ref="W32:X32"/>
    <mergeCell ref="W33:X33"/>
    <mergeCell ref="W34:X34"/>
    <mergeCell ref="AH6:AI6"/>
    <mergeCell ref="AH7:AI7"/>
    <mergeCell ref="AH8:AI8"/>
    <mergeCell ref="AH9:AI9"/>
    <mergeCell ref="AH10:AI10"/>
    <mergeCell ref="AH11:AI11"/>
    <mergeCell ref="AH12:AI12"/>
    <mergeCell ref="AH13:AI13"/>
    <mergeCell ref="AH14:AI14"/>
    <mergeCell ref="AH15:AI15"/>
    <mergeCell ref="AH16:AI16"/>
    <mergeCell ref="AH17:AI17"/>
    <mergeCell ref="W26:X26"/>
    <mergeCell ref="W27:X27"/>
    <mergeCell ref="W28:X28"/>
    <mergeCell ref="W29:X29"/>
    <mergeCell ref="W30:X30"/>
    <mergeCell ref="AH34:AI34"/>
    <mergeCell ref="AH35:AI35"/>
    <mergeCell ref="AS6:AT6"/>
    <mergeCell ref="AS7:AT7"/>
    <mergeCell ref="AS8:AT8"/>
    <mergeCell ref="AS9:AT9"/>
    <mergeCell ref="AS10:AT10"/>
    <mergeCell ref="AS11:AT11"/>
    <mergeCell ref="AS12:AT12"/>
    <mergeCell ref="AS13:AT13"/>
    <mergeCell ref="AS14:AT14"/>
    <mergeCell ref="AS15:AT15"/>
    <mergeCell ref="AS16:AT16"/>
    <mergeCell ref="AS17:AT17"/>
    <mergeCell ref="AS24:AT24"/>
    <mergeCell ref="AS25:AT25"/>
    <mergeCell ref="AH29:AI29"/>
    <mergeCell ref="AH30:AI30"/>
    <mergeCell ref="AH31:AI31"/>
    <mergeCell ref="AH32:AI32"/>
    <mergeCell ref="AH33:AI33"/>
    <mergeCell ref="AH24:AI24"/>
    <mergeCell ref="AH25:AI25"/>
    <mergeCell ref="AH26:AI26"/>
    <mergeCell ref="AS31:AT31"/>
    <mergeCell ref="AS32:AT32"/>
    <mergeCell ref="AS33:AT33"/>
    <mergeCell ref="AS34:AT34"/>
    <mergeCell ref="AS35:AT35"/>
    <mergeCell ref="AS26:AT26"/>
    <mergeCell ref="AS27:AT27"/>
    <mergeCell ref="AS28:AT28"/>
    <mergeCell ref="AS29:AT29"/>
    <mergeCell ref="AS30:AT30"/>
    <mergeCell ref="BD25:BE25"/>
    <mergeCell ref="BD26:BE26"/>
    <mergeCell ref="BD11:BE11"/>
    <mergeCell ref="BD12:BE12"/>
    <mergeCell ref="BD13:BE13"/>
    <mergeCell ref="BD14:BE14"/>
    <mergeCell ref="BD15:BE15"/>
    <mergeCell ref="BD6:BE6"/>
    <mergeCell ref="BD7:BE7"/>
    <mergeCell ref="BD8:BE8"/>
    <mergeCell ref="BD9:BE9"/>
    <mergeCell ref="BD10:BE10"/>
    <mergeCell ref="BD22:BE23"/>
    <mergeCell ref="BD32:BE32"/>
    <mergeCell ref="BD33:BE33"/>
    <mergeCell ref="BD34:BE34"/>
    <mergeCell ref="BD35:BE35"/>
    <mergeCell ref="BO6:BP6"/>
    <mergeCell ref="BO7:BP7"/>
    <mergeCell ref="BO8:BP8"/>
    <mergeCell ref="BO9:BP9"/>
    <mergeCell ref="BO10:BP10"/>
    <mergeCell ref="BO11:BP11"/>
    <mergeCell ref="BO12:BP12"/>
    <mergeCell ref="BO13:BP13"/>
    <mergeCell ref="BO14:BP14"/>
    <mergeCell ref="BO15:BP15"/>
    <mergeCell ref="BO16:BP16"/>
    <mergeCell ref="BO17:BP17"/>
    <mergeCell ref="BD27:BE27"/>
    <mergeCell ref="BD28:BE28"/>
    <mergeCell ref="BD29:BE29"/>
    <mergeCell ref="BD30:BE30"/>
    <mergeCell ref="BD31:BE31"/>
    <mergeCell ref="BD16:BE16"/>
    <mergeCell ref="BD17:BE17"/>
    <mergeCell ref="BD24:BE24"/>
    <mergeCell ref="BO34:BP34"/>
    <mergeCell ref="BO35:BP35"/>
    <mergeCell ref="BZ6:CA6"/>
    <mergeCell ref="BZ7:CA7"/>
    <mergeCell ref="BZ8:CA8"/>
    <mergeCell ref="BZ9:CA9"/>
    <mergeCell ref="BZ10:CA10"/>
    <mergeCell ref="BZ11:CA11"/>
    <mergeCell ref="BZ12:CA12"/>
    <mergeCell ref="BZ13:CA13"/>
    <mergeCell ref="BZ14:CA14"/>
    <mergeCell ref="BZ15:CA15"/>
    <mergeCell ref="BZ16:CA16"/>
    <mergeCell ref="BZ17:CA17"/>
    <mergeCell ref="BO29:BP29"/>
    <mergeCell ref="BO30:BP30"/>
    <mergeCell ref="BO31:BP31"/>
    <mergeCell ref="BO32:BP32"/>
    <mergeCell ref="BO33:BP33"/>
    <mergeCell ref="BO24:BP24"/>
    <mergeCell ref="BO25:BP25"/>
    <mergeCell ref="BO26:BP26"/>
    <mergeCell ref="BO27:BP27"/>
    <mergeCell ref="BO28:BP28"/>
    <mergeCell ref="P4:R4"/>
    <mergeCell ref="T4:V4"/>
    <mergeCell ref="W4:X5"/>
    <mergeCell ref="Z4:Z5"/>
    <mergeCell ref="AA4:AC4"/>
    <mergeCell ref="AE4:AG4"/>
    <mergeCell ref="AH4:AI5"/>
    <mergeCell ref="AK4:AK5"/>
    <mergeCell ref="AL4:AN4"/>
    <mergeCell ref="AP4:AR4"/>
    <mergeCell ref="AS4:AT5"/>
    <mergeCell ref="AV4:AV5"/>
    <mergeCell ref="AW4:AY4"/>
    <mergeCell ref="BA4:BC4"/>
    <mergeCell ref="BD4:BE5"/>
    <mergeCell ref="BG4:BG5"/>
    <mergeCell ref="BH4:BJ4"/>
    <mergeCell ref="BL4:BN4"/>
    <mergeCell ref="BO4:BP5"/>
    <mergeCell ref="BR4:BR5"/>
    <mergeCell ref="BS4:BU4"/>
    <mergeCell ref="BW4:BY4"/>
    <mergeCell ref="BZ4:CA5"/>
    <mergeCell ref="CC4:CC5"/>
    <mergeCell ref="CD4:CF4"/>
    <mergeCell ref="CH4:CJ4"/>
    <mergeCell ref="BO22:BP23"/>
    <mergeCell ref="BR22:BR23"/>
    <mergeCell ref="BS22:BU22"/>
    <mergeCell ref="BW22:BY22"/>
    <mergeCell ref="BG22:BG23"/>
    <mergeCell ref="BH22:BJ22"/>
    <mergeCell ref="BL22:BN22"/>
    <mergeCell ref="AS22:AT23"/>
    <mergeCell ref="AV22:AV23"/>
    <mergeCell ref="AW22:AY22"/>
    <mergeCell ref="BA22:BC22"/>
    <mergeCell ref="AH22:AI23"/>
    <mergeCell ref="AK22:AK23"/>
    <mergeCell ref="AL22:AN22"/>
    <mergeCell ref="AP22:AR22"/>
    <mergeCell ref="Z22:Z23"/>
    <mergeCell ref="AA22:AC22"/>
    <mergeCell ref="AE22:AG22"/>
    <mergeCell ref="L22:M23"/>
    <mergeCell ref="O22:O23"/>
    <mergeCell ref="P22:R22"/>
    <mergeCell ref="T22:V22"/>
    <mergeCell ref="A22:B23"/>
    <mergeCell ref="D22:D23"/>
    <mergeCell ref="E22:G22"/>
    <mergeCell ref="I22:K22"/>
  </mergeCells>
  <printOptions horizontalCentered="1"/>
  <pageMargins left="0.70866141732283472" right="0.70866141732283472" top="0.74803149606299213" bottom="0.19685039370078741" header="0.31496062992125984" footer="0.31496062992125984"/>
  <pageSetup paperSize="9" scale="9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173"/>
  <sheetViews>
    <sheetView rightToLeft="1" view="pageBreakPreview" topLeftCell="A163" zoomScale="110" zoomScaleNormal="100" zoomScaleSheetLayoutView="110" workbookViewId="0">
      <selection activeCell="A173" sqref="A173:XFD173"/>
    </sheetView>
  </sheetViews>
  <sheetFormatPr defaultRowHeight="15" x14ac:dyDescent="0.25"/>
  <cols>
    <col min="2" max="7" width="12.140625" customWidth="1"/>
    <col min="8" max="8" width="12.140625" style="516" customWidth="1"/>
    <col min="9" max="9" width="12.140625" customWidth="1"/>
  </cols>
  <sheetData>
    <row r="1" spans="1:9" ht="20.25" customHeight="1" x14ac:dyDescent="0.25">
      <c r="A1" s="890" t="s">
        <v>452</v>
      </c>
      <c r="B1" s="890"/>
      <c r="C1" s="890"/>
      <c r="D1" s="890"/>
      <c r="E1" s="890"/>
      <c r="F1" s="890"/>
      <c r="G1" s="890"/>
      <c r="H1" s="890"/>
      <c r="I1" s="890"/>
    </row>
    <row r="2" spans="1:9" ht="16.5" customHeight="1" thickBot="1" x14ac:dyDescent="0.3">
      <c r="A2" s="891" t="s">
        <v>495</v>
      </c>
      <c r="B2" s="891"/>
      <c r="C2" s="891"/>
      <c r="D2" s="891"/>
      <c r="E2" s="891"/>
      <c r="F2" s="891"/>
      <c r="G2" s="891"/>
      <c r="H2" s="891"/>
      <c r="I2" s="891"/>
    </row>
    <row r="3" spans="1:9" ht="28.5" customHeight="1" thickTop="1" x14ac:dyDescent="0.25">
      <c r="A3" s="793" t="s">
        <v>360</v>
      </c>
      <c r="B3" s="793" t="s">
        <v>361</v>
      </c>
      <c r="C3" s="788" t="s">
        <v>362</v>
      </c>
      <c r="D3" s="793" t="s">
        <v>369</v>
      </c>
      <c r="E3" s="793" t="s">
        <v>368</v>
      </c>
      <c r="F3" s="792" t="s">
        <v>370</v>
      </c>
      <c r="G3" s="792"/>
      <c r="H3" s="892" t="s">
        <v>396</v>
      </c>
      <c r="I3" s="788" t="s">
        <v>364</v>
      </c>
    </row>
    <row r="4" spans="1:9" ht="28.5" customHeight="1" x14ac:dyDescent="0.25">
      <c r="A4" s="869"/>
      <c r="B4" s="869"/>
      <c r="C4" s="795"/>
      <c r="D4" s="869"/>
      <c r="E4" s="869"/>
      <c r="F4" s="180" t="s">
        <v>367</v>
      </c>
      <c r="G4" s="180" t="s">
        <v>366</v>
      </c>
      <c r="H4" s="893"/>
      <c r="I4" s="795"/>
    </row>
    <row r="5" spans="1:9" ht="18.75" customHeight="1" x14ac:dyDescent="0.25">
      <c r="A5" s="888" t="s">
        <v>67</v>
      </c>
      <c r="B5" s="889" t="s">
        <v>198</v>
      </c>
      <c r="C5" s="479" t="s">
        <v>87</v>
      </c>
      <c r="D5" s="492">
        <v>1800</v>
      </c>
      <c r="E5" s="481">
        <v>745</v>
      </c>
      <c r="F5" s="482">
        <v>46.774999999999999</v>
      </c>
      <c r="G5" s="482">
        <v>1008.225</v>
      </c>
      <c r="H5" s="481">
        <v>1055</v>
      </c>
      <c r="I5" s="517">
        <f>G5/H5*100</f>
        <v>95.566350710900466</v>
      </c>
    </row>
    <row r="6" spans="1:9" ht="18.75" customHeight="1" x14ac:dyDescent="0.25">
      <c r="A6" s="880"/>
      <c r="B6" s="882"/>
      <c r="C6" s="478" t="s">
        <v>88</v>
      </c>
      <c r="D6" s="493">
        <v>550</v>
      </c>
      <c r="E6" s="483">
        <v>228</v>
      </c>
      <c r="F6" s="484">
        <v>222</v>
      </c>
      <c r="G6" s="484">
        <v>100</v>
      </c>
      <c r="H6" s="481">
        <v>322</v>
      </c>
      <c r="I6" s="517">
        <f t="shared" ref="I6:I14" si="0">G6/H6*100</f>
        <v>31.05590062111801</v>
      </c>
    </row>
    <row r="7" spans="1:9" ht="18.75" customHeight="1" x14ac:dyDescent="0.25">
      <c r="A7" s="880"/>
      <c r="B7" s="882"/>
      <c r="C7" s="478" t="s">
        <v>222</v>
      </c>
      <c r="D7" s="493">
        <v>2350</v>
      </c>
      <c r="E7" s="483">
        <v>973</v>
      </c>
      <c r="F7" s="484">
        <v>268.77499999999998</v>
      </c>
      <c r="G7" s="484">
        <v>1108.2249999999999</v>
      </c>
      <c r="H7" s="481">
        <f>SUM(H5:H6)</f>
        <v>1377</v>
      </c>
      <c r="I7" s="517">
        <f t="shared" si="0"/>
        <v>80.481118373275223</v>
      </c>
    </row>
    <row r="8" spans="1:9" ht="18.75" customHeight="1" x14ac:dyDescent="0.25">
      <c r="A8" s="880"/>
      <c r="B8" s="882" t="s">
        <v>417</v>
      </c>
      <c r="C8" s="478" t="s">
        <v>87</v>
      </c>
      <c r="D8" s="493">
        <v>1450</v>
      </c>
      <c r="E8" s="483">
        <v>220</v>
      </c>
      <c r="F8" s="484">
        <v>464</v>
      </c>
      <c r="G8" s="484">
        <v>766</v>
      </c>
      <c r="H8" s="481">
        <v>1230</v>
      </c>
      <c r="I8" s="517">
        <f t="shared" si="0"/>
        <v>62.276422764227647</v>
      </c>
    </row>
    <row r="9" spans="1:9" ht="18.75" customHeight="1" x14ac:dyDescent="0.25">
      <c r="A9" s="880"/>
      <c r="B9" s="882"/>
      <c r="C9" s="478" t="s">
        <v>88</v>
      </c>
      <c r="D9" s="493">
        <v>500</v>
      </c>
      <c r="E9" s="483">
        <v>345</v>
      </c>
      <c r="F9" s="484">
        <v>27.43</v>
      </c>
      <c r="G9" s="484">
        <v>127.57</v>
      </c>
      <c r="H9" s="481">
        <v>155</v>
      </c>
      <c r="I9" s="517">
        <f t="shared" si="0"/>
        <v>82.303225806451607</v>
      </c>
    </row>
    <row r="10" spans="1:9" ht="18.75" customHeight="1" x14ac:dyDescent="0.25">
      <c r="A10" s="880"/>
      <c r="B10" s="882"/>
      <c r="C10" s="478" t="s">
        <v>240</v>
      </c>
      <c r="D10" s="493">
        <v>1050</v>
      </c>
      <c r="E10" s="483">
        <v>15</v>
      </c>
      <c r="F10" s="484">
        <v>421.43</v>
      </c>
      <c r="G10" s="484">
        <v>613.57000000000005</v>
      </c>
      <c r="H10" s="481">
        <v>1035</v>
      </c>
      <c r="I10" s="517">
        <f t="shared" si="0"/>
        <v>59.282125603864742</v>
      </c>
    </row>
    <row r="11" spans="1:9" ht="18.75" customHeight="1" x14ac:dyDescent="0.25">
      <c r="A11" s="880"/>
      <c r="B11" s="882"/>
      <c r="C11" s="478" t="s">
        <v>222</v>
      </c>
      <c r="D11" s="493">
        <v>3000</v>
      </c>
      <c r="E11" s="483">
        <v>580</v>
      </c>
      <c r="F11" s="484">
        <v>912.86</v>
      </c>
      <c r="G11" s="484">
        <v>1507.14</v>
      </c>
      <c r="H11" s="481">
        <f>SUM(H8:H10)</f>
        <v>2420</v>
      </c>
      <c r="I11" s="517">
        <f t="shared" si="0"/>
        <v>62.278512396694218</v>
      </c>
    </row>
    <row r="12" spans="1:9" ht="18.75" customHeight="1" x14ac:dyDescent="0.25">
      <c r="A12" s="880"/>
      <c r="B12" s="883" t="s">
        <v>418</v>
      </c>
      <c r="C12" s="478" t="s">
        <v>88</v>
      </c>
      <c r="D12" s="493">
        <v>1200</v>
      </c>
      <c r="E12" s="483">
        <v>637</v>
      </c>
      <c r="F12" s="484">
        <v>156</v>
      </c>
      <c r="G12" s="484">
        <v>407</v>
      </c>
      <c r="H12" s="481">
        <v>563</v>
      </c>
      <c r="I12" s="517">
        <f t="shared" si="0"/>
        <v>72.291296625222017</v>
      </c>
    </row>
    <row r="13" spans="1:9" ht="18.75" customHeight="1" x14ac:dyDescent="0.25">
      <c r="A13" s="880"/>
      <c r="B13" s="884"/>
      <c r="C13" s="477" t="s">
        <v>240</v>
      </c>
      <c r="D13" s="493">
        <v>1800</v>
      </c>
      <c r="E13" s="483">
        <v>600</v>
      </c>
      <c r="F13" s="484">
        <v>506.9</v>
      </c>
      <c r="G13" s="484">
        <v>693.1</v>
      </c>
      <c r="H13" s="481">
        <v>1200</v>
      </c>
      <c r="I13" s="517">
        <f t="shared" si="0"/>
        <v>57.758333333333333</v>
      </c>
    </row>
    <row r="14" spans="1:9" ht="18.75" customHeight="1" x14ac:dyDescent="0.25">
      <c r="A14" s="880"/>
      <c r="B14" s="885"/>
      <c r="C14" s="478" t="s">
        <v>222</v>
      </c>
      <c r="D14" s="493">
        <v>3000</v>
      </c>
      <c r="E14" s="483">
        <v>1237</v>
      </c>
      <c r="F14" s="484">
        <v>662.9</v>
      </c>
      <c r="G14" s="484">
        <v>1100.0999999999999</v>
      </c>
      <c r="H14" s="481">
        <f>SUM(H12:H13)</f>
        <v>1763</v>
      </c>
      <c r="I14" s="517">
        <f t="shared" si="0"/>
        <v>62.399319342030623</v>
      </c>
    </row>
    <row r="15" spans="1:9" ht="18.75" customHeight="1" x14ac:dyDescent="0.25">
      <c r="A15" s="880"/>
      <c r="B15" s="887" t="s">
        <v>363</v>
      </c>
      <c r="C15" s="887"/>
      <c r="D15" s="502">
        <v>8350</v>
      </c>
      <c r="E15" s="503">
        <v>2790</v>
      </c>
      <c r="F15" s="503">
        <f>F7+F11+F14</f>
        <v>1844.5349999999999</v>
      </c>
      <c r="G15" s="503">
        <f>G7+G11+G14</f>
        <v>3715.4649999999997</v>
      </c>
      <c r="H15" s="503">
        <f>H7+H11+H14</f>
        <v>5560</v>
      </c>
      <c r="I15" s="518">
        <f>G15/H15*100</f>
        <v>66.82491007194244</v>
      </c>
    </row>
    <row r="16" spans="1:9" ht="18.75" customHeight="1" x14ac:dyDescent="0.25">
      <c r="A16" s="894" t="s">
        <v>12</v>
      </c>
      <c r="B16" s="882" t="s">
        <v>198</v>
      </c>
      <c r="C16" s="478" t="s">
        <v>87</v>
      </c>
      <c r="D16" s="493">
        <v>1800</v>
      </c>
      <c r="E16" s="483">
        <v>745</v>
      </c>
      <c r="F16" s="484">
        <v>25.274999999999999</v>
      </c>
      <c r="G16" s="484">
        <v>1029.7249999999999</v>
      </c>
      <c r="H16" s="481">
        <f t="shared" ref="H16:H37" si="1">F16+G16</f>
        <v>1055</v>
      </c>
      <c r="I16" s="517">
        <f t="shared" ref="I16:I37" si="2">G16/H16*100</f>
        <v>97.604265402843595</v>
      </c>
    </row>
    <row r="17" spans="1:9" ht="18.75" customHeight="1" x14ac:dyDescent="0.25">
      <c r="A17" s="895"/>
      <c r="B17" s="882"/>
      <c r="C17" s="478" t="s">
        <v>88</v>
      </c>
      <c r="D17" s="493">
        <v>550</v>
      </c>
      <c r="E17" s="483">
        <v>228</v>
      </c>
      <c r="F17" s="484">
        <v>165.66200000000001</v>
      </c>
      <c r="G17" s="484">
        <v>156.33799999999999</v>
      </c>
      <c r="H17" s="481">
        <f t="shared" si="1"/>
        <v>322</v>
      </c>
      <c r="I17" s="517">
        <f t="shared" si="2"/>
        <v>48.552173913043475</v>
      </c>
    </row>
    <row r="18" spans="1:9" ht="18.75" customHeight="1" x14ac:dyDescent="0.25">
      <c r="A18" s="895"/>
      <c r="B18" s="882"/>
      <c r="C18" s="478" t="s">
        <v>222</v>
      </c>
      <c r="D18" s="493">
        <v>2350</v>
      </c>
      <c r="E18" s="483">
        <v>973</v>
      </c>
      <c r="F18" s="484">
        <v>190.93700000000001</v>
      </c>
      <c r="G18" s="484">
        <v>1186.0630000000001</v>
      </c>
      <c r="H18" s="481">
        <f t="shared" si="1"/>
        <v>1377</v>
      </c>
      <c r="I18" s="517">
        <f t="shared" si="2"/>
        <v>86.133841684822087</v>
      </c>
    </row>
    <row r="19" spans="1:9" ht="18.75" customHeight="1" x14ac:dyDescent="0.25">
      <c r="A19" s="895"/>
      <c r="B19" s="882" t="s">
        <v>417</v>
      </c>
      <c r="C19" s="478" t="s">
        <v>87</v>
      </c>
      <c r="D19" s="493">
        <v>1450</v>
      </c>
      <c r="E19" s="483">
        <v>220</v>
      </c>
      <c r="F19" s="484">
        <v>329.46899999999999</v>
      </c>
      <c r="G19" s="484">
        <v>900.53099999999995</v>
      </c>
      <c r="H19" s="481">
        <f t="shared" si="1"/>
        <v>1230</v>
      </c>
      <c r="I19" s="517">
        <f t="shared" si="2"/>
        <v>73.21390243902438</v>
      </c>
    </row>
    <row r="20" spans="1:9" ht="18.75" customHeight="1" x14ac:dyDescent="0.25">
      <c r="A20" s="895"/>
      <c r="B20" s="882"/>
      <c r="C20" s="478" t="s">
        <v>88</v>
      </c>
      <c r="D20" s="493">
        <v>500</v>
      </c>
      <c r="E20" s="483">
        <v>345</v>
      </c>
      <c r="F20" s="484">
        <v>9.4090000000000007</v>
      </c>
      <c r="G20" s="484">
        <v>145.59100000000001</v>
      </c>
      <c r="H20" s="481">
        <f t="shared" si="1"/>
        <v>155</v>
      </c>
      <c r="I20" s="517">
        <f t="shared" si="2"/>
        <v>93.929677419354846</v>
      </c>
    </row>
    <row r="21" spans="1:9" ht="18.75" customHeight="1" x14ac:dyDescent="0.25">
      <c r="A21" s="895"/>
      <c r="B21" s="882"/>
      <c r="C21" s="478" t="s">
        <v>240</v>
      </c>
      <c r="D21" s="493">
        <v>1050</v>
      </c>
      <c r="E21" s="483">
        <v>15</v>
      </c>
      <c r="F21" s="484">
        <v>359.48700000000002</v>
      </c>
      <c r="G21" s="484">
        <v>675.51300000000003</v>
      </c>
      <c r="H21" s="481">
        <f t="shared" si="1"/>
        <v>1035</v>
      </c>
      <c r="I21" s="517">
        <f t="shared" si="2"/>
        <v>65.266956521739132</v>
      </c>
    </row>
    <row r="22" spans="1:9" ht="18.75" customHeight="1" x14ac:dyDescent="0.25">
      <c r="A22" s="895"/>
      <c r="B22" s="882"/>
      <c r="C22" s="478" t="s">
        <v>222</v>
      </c>
      <c r="D22" s="493">
        <v>3000</v>
      </c>
      <c r="E22" s="483">
        <v>580</v>
      </c>
      <c r="F22" s="484">
        <v>698.36500000000001</v>
      </c>
      <c r="G22" s="484">
        <v>1721.635</v>
      </c>
      <c r="H22" s="481">
        <f t="shared" si="1"/>
        <v>2420</v>
      </c>
      <c r="I22" s="517">
        <f t="shared" si="2"/>
        <v>71.141942148760336</v>
      </c>
    </row>
    <row r="23" spans="1:9" ht="18.75" customHeight="1" x14ac:dyDescent="0.25">
      <c r="A23" s="895"/>
      <c r="B23" s="883" t="s">
        <v>418</v>
      </c>
      <c r="C23" s="478" t="s">
        <v>88</v>
      </c>
      <c r="D23" s="493">
        <v>1200</v>
      </c>
      <c r="E23" s="483">
        <v>637</v>
      </c>
      <c r="F23" s="484">
        <v>237.541</v>
      </c>
      <c r="G23" s="484">
        <v>325.459</v>
      </c>
      <c r="H23" s="481">
        <f t="shared" si="1"/>
        <v>563</v>
      </c>
      <c r="I23" s="517">
        <f t="shared" si="2"/>
        <v>57.807992895204265</v>
      </c>
    </row>
    <row r="24" spans="1:9" ht="18.75" customHeight="1" x14ac:dyDescent="0.25">
      <c r="A24" s="895"/>
      <c r="B24" s="884"/>
      <c r="C24" s="477" t="s">
        <v>240</v>
      </c>
      <c r="D24" s="493">
        <v>1800</v>
      </c>
      <c r="E24" s="483">
        <v>600</v>
      </c>
      <c r="F24" s="484">
        <v>335.15300000000002</v>
      </c>
      <c r="G24" s="484">
        <v>864.84699999999998</v>
      </c>
      <c r="H24" s="481">
        <f t="shared" si="1"/>
        <v>1200</v>
      </c>
      <c r="I24" s="517">
        <f t="shared" si="2"/>
        <v>72.070583333333332</v>
      </c>
    </row>
    <row r="25" spans="1:9" ht="18.75" customHeight="1" x14ac:dyDescent="0.25">
      <c r="A25" s="895"/>
      <c r="B25" s="885"/>
      <c r="C25" s="478" t="s">
        <v>222</v>
      </c>
      <c r="D25" s="493">
        <v>3000</v>
      </c>
      <c r="E25" s="483">
        <v>1237</v>
      </c>
      <c r="F25" s="484">
        <v>572.69399999999996</v>
      </c>
      <c r="G25" s="484">
        <v>1190.306</v>
      </c>
      <c r="H25" s="481">
        <f t="shared" si="1"/>
        <v>1763</v>
      </c>
      <c r="I25" s="517">
        <f t="shared" si="2"/>
        <v>67.515938740782758</v>
      </c>
    </row>
    <row r="26" spans="1:9" ht="18.75" customHeight="1" x14ac:dyDescent="0.25">
      <c r="A26" s="888"/>
      <c r="B26" s="887" t="s">
        <v>363</v>
      </c>
      <c r="C26" s="887"/>
      <c r="D26" s="502">
        <f>D18+D22+D25</f>
        <v>8350</v>
      </c>
      <c r="E26" s="502">
        <f t="shared" ref="E26:H26" si="3">E18+E22+E25</f>
        <v>2790</v>
      </c>
      <c r="F26" s="502">
        <f t="shared" si="3"/>
        <v>1461.9960000000001</v>
      </c>
      <c r="G26" s="502">
        <f t="shared" si="3"/>
        <v>4098.0040000000008</v>
      </c>
      <c r="H26" s="502">
        <f t="shared" si="3"/>
        <v>5560</v>
      </c>
      <c r="I26" s="518">
        <f>G26/H26*100</f>
        <v>73.705107913669082</v>
      </c>
    </row>
    <row r="27" spans="1:9" ht="18.75" customHeight="1" x14ac:dyDescent="0.25">
      <c r="A27" s="894" t="s">
        <v>21</v>
      </c>
      <c r="B27" s="882" t="s">
        <v>198</v>
      </c>
      <c r="C27" s="478" t="s">
        <v>87</v>
      </c>
      <c r="D27" s="493">
        <v>1800</v>
      </c>
      <c r="E27" s="483">
        <v>745</v>
      </c>
      <c r="F27" s="484">
        <v>0</v>
      </c>
      <c r="G27" s="484">
        <v>1055</v>
      </c>
      <c r="H27" s="481">
        <f t="shared" si="1"/>
        <v>1055</v>
      </c>
      <c r="I27" s="517">
        <f t="shared" si="2"/>
        <v>100</v>
      </c>
    </row>
    <row r="28" spans="1:9" ht="18.75" customHeight="1" x14ac:dyDescent="0.25">
      <c r="A28" s="895"/>
      <c r="B28" s="882"/>
      <c r="C28" s="478" t="s">
        <v>88</v>
      </c>
      <c r="D28" s="493">
        <v>550</v>
      </c>
      <c r="E28" s="483">
        <v>228</v>
      </c>
      <c r="F28" s="484">
        <v>1</v>
      </c>
      <c r="G28" s="484">
        <v>321</v>
      </c>
      <c r="H28" s="481">
        <f t="shared" si="1"/>
        <v>322</v>
      </c>
      <c r="I28" s="517">
        <f t="shared" si="2"/>
        <v>99.689440993788821</v>
      </c>
    </row>
    <row r="29" spans="1:9" ht="18.75" customHeight="1" x14ac:dyDescent="0.25">
      <c r="A29" s="895"/>
      <c r="B29" s="882"/>
      <c r="C29" s="478" t="s">
        <v>222</v>
      </c>
      <c r="D29" s="493">
        <v>2350</v>
      </c>
      <c r="E29" s="483">
        <v>973</v>
      </c>
      <c r="F29" s="484">
        <v>1</v>
      </c>
      <c r="G29" s="484">
        <v>1376</v>
      </c>
      <c r="H29" s="481">
        <f t="shared" si="1"/>
        <v>1377</v>
      </c>
      <c r="I29" s="517">
        <f t="shared" si="2"/>
        <v>99.9273783587509</v>
      </c>
    </row>
    <row r="30" spans="1:9" ht="18.75" customHeight="1" x14ac:dyDescent="0.25">
      <c r="A30" s="895"/>
      <c r="B30" s="882" t="s">
        <v>417</v>
      </c>
      <c r="C30" s="478" t="s">
        <v>87</v>
      </c>
      <c r="D30" s="493">
        <v>1450</v>
      </c>
      <c r="E30" s="483">
        <v>220</v>
      </c>
      <c r="F30" s="484">
        <v>230</v>
      </c>
      <c r="G30" s="484">
        <v>1000</v>
      </c>
      <c r="H30" s="481">
        <f t="shared" si="1"/>
        <v>1230</v>
      </c>
      <c r="I30" s="517">
        <f t="shared" si="2"/>
        <v>81.300813008130078</v>
      </c>
    </row>
    <row r="31" spans="1:9" ht="18.75" customHeight="1" x14ac:dyDescent="0.25">
      <c r="A31" s="895"/>
      <c r="B31" s="882"/>
      <c r="C31" s="478" t="s">
        <v>88</v>
      </c>
      <c r="D31" s="493">
        <v>500</v>
      </c>
      <c r="E31" s="483">
        <v>345</v>
      </c>
      <c r="F31" s="484">
        <v>4</v>
      </c>
      <c r="G31" s="484">
        <v>151</v>
      </c>
      <c r="H31" s="481">
        <f t="shared" si="1"/>
        <v>155</v>
      </c>
      <c r="I31" s="517">
        <f t="shared" si="2"/>
        <v>97.41935483870968</v>
      </c>
    </row>
    <row r="32" spans="1:9" ht="18.75" customHeight="1" x14ac:dyDescent="0.25">
      <c r="A32" s="895"/>
      <c r="B32" s="882"/>
      <c r="C32" s="478" t="s">
        <v>240</v>
      </c>
      <c r="D32" s="493">
        <v>1050</v>
      </c>
      <c r="E32" s="483">
        <v>15</v>
      </c>
      <c r="F32" s="484">
        <v>375</v>
      </c>
      <c r="G32" s="484">
        <v>660</v>
      </c>
      <c r="H32" s="481">
        <f t="shared" si="1"/>
        <v>1035</v>
      </c>
      <c r="I32" s="517">
        <f t="shared" si="2"/>
        <v>63.768115942028977</v>
      </c>
    </row>
    <row r="33" spans="1:9" ht="18.75" customHeight="1" x14ac:dyDescent="0.25">
      <c r="A33" s="895"/>
      <c r="B33" s="882"/>
      <c r="C33" s="478" t="s">
        <v>222</v>
      </c>
      <c r="D33" s="494">
        <v>3000</v>
      </c>
      <c r="E33" s="485">
        <v>580</v>
      </c>
      <c r="F33" s="486">
        <v>609</v>
      </c>
      <c r="G33" s="486">
        <v>1811</v>
      </c>
      <c r="H33" s="481">
        <f t="shared" si="1"/>
        <v>2420</v>
      </c>
      <c r="I33" s="517">
        <f t="shared" si="2"/>
        <v>74.834710743801651</v>
      </c>
    </row>
    <row r="34" spans="1:9" ht="18.75" customHeight="1" x14ac:dyDescent="0.25">
      <c r="A34" s="895"/>
      <c r="B34" s="883" t="s">
        <v>418</v>
      </c>
      <c r="C34" s="478" t="s">
        <v>88</v>
      </c>
      <c r="D34" s="493">
        <v>1200</v>
      </c>
      <c r="E34" s="483">
        <v>637</v>
      </c>
      <c r="F34" s="484">
        <v>118</v>
      </c>
      <c r="G34" s="484">
        <v>445</v>
      </c>
      <c r="H34" s="481">
        <f t="shared" si="1"/>
        <v>563</v>
      </c>
      <c r="I34" s="517">
        <f t="shared" si="2"/>
        <v>79.040852575488458</v>
      </c>
    </row>
    <row r="35" spans="1:9" ht="18.75" customHeight="1" x14ac:dyDescent="0.25">
      <c r="A35" s="895"/>
      <c r="B35" s="884"/>
      <c r="C35" s="477" t="s">
        <v>240</v>
      </c>
      <c r="D35" s="493">
        <v>1800</v>
      </c>
      <c r="E35" s="483">
        <v>600</v>
      </c>
      <c r="F35" s="484">
        <v>319</v>
      </c>
      <c r="G35" s="484">
        <v>881</v>
      </c>
      <c r="H35" s="481">
        <f t="shared" si="1"/>
        <v>1200</v>
      </c>
      <c r="I35" s="517">
        <f t="shared" si="2"/>
        <v>73.416666666666657</v>
      </c>
    </row>
    <row r="36" spans="1:9" ht="18.75" customHeight="1" x14ac:dyDescent="0.25">
      <c r="A36" s="895"/>
      <c r="B36" s="885"/>
      <c r="C36" s="478" t="s">
        <v>222</v>
      </c>
      <c r="D36" s="493">
        <v>3000</v>
      </c>
      <c r="E36" s="483">
        <v>1237</v>
      </c>
      <c r="F36" s="484">
        <v>437</v>
      </c>
      <c r="G36" s="484">
        <v>1326</v>
      </c>
      <c r="H36" s="481">
        <f t="shared" si="1"/>
        <v>1763</v>
      </c>
      <c r="I36" s="517">
        <f>G36/H36*100</f>
        <v>75.212705615428249</v>
      </c>
    </row>
    <row r="37" spans="1:9" ht="18.75" customHeight="1" x14ac:dyDescent="0.25">
      <c r="A37" s="896"/>
      <c r="B37" s="886" t="s">
        <v>363</v>
      </c>
      <c r="C37" s="886"/>
      <c r="D37" s="505">
        <v>8350</v>
      </c>
      <c r="E37" s="506">
        <v>2790</v>
      </c>
      <c r="F37" s="507">
        <f>F29+F33+F36</f>
        <v>1047</v>
      </c>
      <c r="G37" s="507">
        <f>G29+G33+G36</f>
        <v>4513</v>
      </c>
      <c r="H37" s="506">
        <f t="shared" si="1"/>
        <v>5560</v>
      </c>
      <c r="I37" s="514">
        <f t="shared" si="2"/>
        <v>81.169064748201436</v>
      </c>
    </row>
    <row r="38" spans="1:9" ht="18.75" customHeight="1" x14ac:dyDescent="0.25">
      <c r="A38" s="497"/>
      <c r="B38" s="487"/>
      <c r="C38" s="487"/>
      <c r="D38" s="488"/>
      <c r="E38" s="488"/>
      <c r="F38" s="489"/>
      <c r="G38" s="489"/>
      <c r="H38" s="489"/>
      <c r="I38" s="489" t="s">
        <v>92</v>
      </c>
    </row>
    <row r="39" spans="1:9" ht="17.25" customHeight="1" x14ac:dyDescent="0.25">
      <c r="A39" s="878" t="s">
        <v>4</v>
      </c>
      <c r="B39" s="878"/>
      <c r="C39" s="878"/>
      <c r="D39" s="878"/>
      <c r="E39" s="878"/>
      <c r="F39" s="878"/>
      <c r="G39" s="489"/>
      <c r="H39" s="489"/>
      <c r="I39" s="489"/>
    </row>
    <row r="40" spans="1:9" ht="18.75" customHeight="1" x14ac:dyDescent="0.25">
      <c r="A40" s="497"/>
      <c r="B40" s="487"/>
      <c r="C40" s="487"/>
      <c r="D40" s="488"/>
      <c r="E40" s="488"/>
      <c r="F40" s="489"/>
      <c r="G40" s="489"/>
      <c r="H40" s="489"/>
      <c r="I40" s="489"/>
    </row>
    <row r="41" spans="1:9" ht="18.75" customHeight="1" x14ac:dyDescent="0.25">
      <c r="A41" s="497"/>
      <c r="B41" s="487"/>
      <c r="C41" s="487"/>
      <c r="D41" s="488"/>
      <c r="E41" s="488"/>
      <c r="F41" s="489"/>
      <c r="G41" s="489"/>
      <c r="H41" s="489"/>
      <c r="I41" s="489"/>
    </row>
    <row r="42" spans="1:9" ht="18.75" customHeight="1" x14ac:dyDescent="0.25">
      <c r="A42" s="497"/>
      <c r="B42" s="487"/>
      <c r="C42" s="487"/>
      <c r="D42" s="488"/>
      <c r="E42" s="488"/>
      <c r="F42" s="489"/>
      <c r="G42" s="489"/>
      <c r="H42" s="489"/>
      <c r="I42" s="489"/>
    </row>
    <row r="43" spans="1:9" ht="18.75" customHeight="1" x14ac:dyDescent="0.25">
      <c r="A43" s="497"/>
      <c r="B43" s="487"/>
      <c r="C43" s="487"/>
      <c r="D43" s="488"/>
      <c r="E43" s="488"/>
      <c r="F43" s="489"/>
      <c r="G43" s="489"/>
      <c r="H43" s="489"/>
      <c r="I43" s="489"/>
    </row>
    <row r="44" spans="1:9" ht="17.25" customHeight="1" x14ac:dyDescent="0.25">
      <c r="A44" s="879" t="s">
        <v>255</v>
      </c>
      <c r="B44" s="879"/>
      <c r="C44" s="879"/>
      <c r="D44" s="879"/>
      <c r="E44" s="879"/>
      <c r="F44" s="879"/>
      <c r="G44" s="879"/>
      <c r="H44" s="529"/>
      <c r="I44" s="530">
        <v>49</v>
      </c>
    </row>
    <row r="45" spans="1:9" ht="20.25" customHeight="1" x14ac:dyDescent="0.25">
      <c r="A45" s="890" t="s">
        <v>452</v>
      </c>
      <c r="B45" s="890"/>
      <c r="C45" s="890"/>
      <c r="D45" s="890"/>
      <c r="E45" s="890"/>
      <c r="F45" s="890"/>
      <c r="G45" s="890"/>
      <c r="H45" s="890"/>
      <c r="I45" s="890"/>
    </row>
    <row r="46" spans="1:9" ht="24.75" customHeight="1" thickBot="1" x14ac:dyDescent="0.3">
      <c r="A46" s="891" t="s">
        <v>496</v>
      </c>
      <c r="B46" s="891"/>
      <c r="C46" s="891"/>
      <c r="D46" s="891"/>
      <c r="E46" s="891"/>
      <c r="F46" s="891"/>
      <c r="G46" s="891"/>
      <c r="H46" s="891"/>
      <c r="I46" s="891"/>
    </row>
    <row r="47" spans="1:9" ht="27.75" customHeight="1" thickTop="1" x14ac:dyDescent="0.25">
      <c r="A47" s="793" t="s">
        <v>360</v>
      </c>
      <c r="B47" s="793" t="s">
        <v>361</v>
      </c>
      <c r="C47" s="788" t="s">
        <v>362</v>
      </c>
      <c r="D47" s="793" t="s">
        <v>369</v>
      </c>
      <c r="E47" s="793" t="s">
        <v>368</v>
      </c>
      <c r="F47" s="792" t="s">
        <v>370</v>
      </c>
      <c r="G47" s="792"/>
      <c r="H47" s="892" t="s">
        <v>396</v>
      </c>
      <c r="I47" s="788" t="s">
        <v>364</v>
      </c>
    </row>
    <row r="48" spans="1:9" ht="27.75" customHeight="1" x14ac:dyDescent="0.25">
      <c r="A48" s="869"/>
      <c r="B48" s="869"/>
      <c r="C48" s="795"/>
      <c r="D48" s="869"/>
      <c r="E48" s="869"/>
      <c r="F48" s="180" t="s">
        <v>367</v>
      </c>
      <c r="G48" s="180" t="s">
        <v>366</v>
      </c>
      <c r="H48" s="893"/>
      <c r="I48" s="795"/>
    </row>
    <row r="49" spans="1:9" ht="18.75" customHeight="1" x14ac:dyDescent="0.25">
      <c r="A49" s="895" t="s">
        <v>14</v>
      </c>
      <c r="B49" s="889" t="s">
        <v>198</v>
      </c>
      <c r="C49" s="479" t="s">
        <v>87</v>
      </c>
      <c r="D49" s="492">
        <v>1800</v>
      </c>
      <c r="E49" s="481">
        <v>745</v>
      </c>
      <c r="F49" s="482">
        <v>0</v>
      </c>
      <c r="G49" s="482">
        <v>1055</v>
      </c>
      <c r="H49" s="481">
        <f>F49+G49</f>
        <v>1055</v>
      </c>
      <c r="I49" s="517">
        <f>G49/H49*100</f>
        <v>100</v>
      </c>
    </row>
    <row r="50" spans="1:9" ht="18.75" customHeight="1" x14ac:dyDescent="0.25">
      <c r="A50" s="895"/>
      <c r="B50" s="882"/>
      <c r="C50" s="478" t="s">
        <v>88</v>
      </c>
      <c r="D50" s="493">
        <v>550</v>
      </c>
      <c r="E50" s="483">
        <v>228</v>
      </c>
      <c r="F50" s="484">
        <v>0</v>
      </c>
      <c r="G50" s="484">
        <v>322</v>
      </c>
      <c r="H50" s="481">
        <f t="shared" ref="H50:H81" si="4">F50+G50</f>
        <v>322</v>
      </c>
      <c r="I50" s="517">
        <f t="shared" ref="I50:I81" si="5">G50/H50*100</f>
        <v>100</v>
      </c>
    </row>
    <row r="51" spans="1:9" ht="18.75" customHeight="1" x14ac:dyDescent="0.25">
      <c r="A51" s="895"/>
      <c r="B51" s="882"/>
      <c r="C51" s="478" t="s">
        <v>222</v>
      </c>
      <c r="D51" s="493">
        <v>2350</v>
      </c>
      <c r="E51" s="483">
        <v>973</v>
      </c>
      <c r="F51" s="484">
        <v>0</v>
      </c>
      <c r="G51" s="484">
        <v>1377</v>
      </c>
      <c r="H51" s="481">
        <f t="shared" si="4"/>
        <v>1377</v>
      </c>
      <c r="I51" s="517">
        <f t="shared" si="5"/>
        <v>100</v>
      </c>
    </row>
    <row r="52" spans="1:9" ht="18.75" customHeight="1" x14ac:dyDescent="0.25">
      <c r="A52" s="895"/>
      <c r="B52" s="882" t="s">
        <v>417</v>
      </c>
      <c r="C52" s="478" t="s">
        <v>87</v>
      </c>
      <c r="D52" s="493">
        <v>1450</v>
      </c>
      <c r="E52" s="483">
        <v>220</v>
      </c>
      <c r="F52" s="484">
        <v>220</v>
      </c>
      <c r="G52" s="484">
        <v>1010</v>
      </c>
      <c r="H52" s="481">
        <f t="shared" si="4"/>
        <v>1230</v>
      </c>
      <c r="I52" s="517">
        <f t="shared" si="5"/>
        <v>82.113821138211378</v>
      </c>
    </row>
    <row r="53" spans="1:9" ht="18.75" customHeight="1" x14ac:dyDescent="0.25">
      <c r="A53" s="895"/>
      <c r="B53" s="882"/>
      <c r="C53" s="478" t="s">
        <v>88</v>
      </c>
      <c r="D53" s="493">
        <v>500</v>
      </c>
      <c r="E53" s="483">
        <v>345</v>
      </c>
      <c r="F53" s="484">
        <v>0</v>
      </c>
      <c r="G53" s="484">
        <v>155</v>
      </c>
      <c r="H53" s="481">
        <f t="shared" si="4"/>
        <v>155</v>
      </c>
      <c r="I53" s="517">
        <f t="shared" si="5"/>
        <v>100</v>
      </c>
    </row>
    <row r="54" spans="1:9" ht="18.75" customHeight="1" x14ac:dyDescent="0.25">
      <c r="A54" s="895"/>
      <c r="B54" s="882"/>
      <c r="C54" s="478" t="s">
        <v>240</v>
      </c>
      <c r="D54" s="493">
        <v>1050</v>
      </c>
      <c r="E54" s="483">
        <v>15</v>
      </c>
      <c r="F54" s="484">
        <v>290</v>
      </c>
      <c r="G54" s="484">
        <v>745</v>
      </c>
      <c r="H54" s="481">
        <f t="shared" si="4"/>
        <v>1035</v>
      </c>
      <c r="I54" s="517">
        <f t="shared" si="5"/>
        <v>71.980676328502412</v>
      </c>
    </row>
    <row r="55" spans="1:9" ht="18.75" customHeight="1" x14ac:dyDescent="0.25">
      <c r="A55" s="895"/>
      <c r="B55" s="882"/>
      <c r="C55" s="478" t="s">
        <v>222</v>
      </c>
      <c r="D55" s="493">
        <v>3000</v>
      </c>
      <c r="E55" s="483">
        <v>580</v>
      </c>
      <c r="F55" s="484">
        <v>510</v>
      </c>
      <c r="G55" s="484">
        <v>1910</v>
      </c>
      <c r="H55" s="481">
        <f t="shared" si="4"/>
        <v>2420</v>
      </c>
      <c r="I55" s="517">
        <f t="shared" si="5"/>
        <v>78.925619834710744</v>
      </c>
    </row>
    <row r="56" spans="1:9" ht="18.75" customHeight="1" x14ac:dyDescent="0.25">
      <c r="A56" s="895"/>
      <c r="B56" s="883" t="s">
        <v>418</v>
      </c>
      <c r="C56" s="478" t="s">
        <v>88</v>
      </c>
      <c r="D56" s="493">
        <v>1200</v>
      </c>
      <c r="E56" s="483">
        <v>637</v>
      </c>
      <c r="F56" s="484">
        <v>57</v>
      </c>
      <c r="G56" s="484">
        <v>506</v>
      </c>
      <c r="H56" s="481">
        <f t="shared" si="4"/>
        <v>563</v>
      </c>
      <c r="I56" s="517">
        <f t="shared" si="5"/>
        <v>89.87566607460036</v>
      </c>
    </row>
    <row r="57" spans="1:9" ht="18.75" customHeight="1" x14ac:dyDescent="0.25">
      <c r="A57" s="895"/>
      <c r="B57" s="884"/>
      <c r="C57" s="477" t="s">
        <v>240</v>
      </c>
      <c r="D57" s="493">
        <v>1800</v>
      </c>
      <c r="E57" s="483">
        <v>600</v>
      </c>
      <c r="F57" s="484">
        <v>209</v>
      </c>
      <c r="G57" s="484">
        <v>991</v>
      </c>
      <c r="H57" s="481">
        <f>SUM(F57:G57)</f>
        <v>1200</v>
      </c>
      <c r="I57" s="517">
        <f t="shared" si="5"/>
        <v>82.583333333333329</v>
      </c>
    </row>
    <row r="58" spans="1:9" ht="18.75" customHeight="1" x14ac:dyDescent="0.25">
      <c r="A58" s="895"/>
      <c r="B58" s="885"/>
      <c r="C58" s="478" t="s">
        <v>222</v>
      </c>
      <c r="D58" s="493">
        <v>3000</v>
      </c>
      <c r="E58" s="483">
        <v>1237</v>
      </c>
      <c r="F58" s="484">
        <v>266</v>
      </c>
      <c r="G58" s="484">
        <v>1497</v>
      </c>
      <c r="H58" s="481">
        <f t="shared" si="4"/>
        <v>1763</v>
      </c>
      <c r="I58" s="517">
        <f t="shared" si="5"/>
        <v>84.912081678956326</v>
      </c>
    </row>
    <row r="59" spans="1:9" ht="18.75" customHeight="1" x14ac:dyDescent="0.25">
      <c r="A59" s="888"/>
      <c r="B59" s="887" t="s">
        <v>363</v>
      </c>
      <c r="C59" s="887"/>
      <c r="D59" s="502">
        <v>8350</v>
      </c>
      <c r="E59" s="503">
        <v>2790</v>
      </c>
      <c r="F59" s="504">
        <f>F51+F55+F58</f>
        <v>776</v>
      </c>
      <c r="G59" s="504">
        <f>G51+G55+G58</f>
        <v>4784</v>
      </c>
      <c r="H59" s="503">
        <f>H51+H55+H58</f>
        <v>5560</v>
      </c>
      <c r="I59" s="518">
        <f t="shared" si="5"/>
        <v>86.043165467625897</v>
      </c>
    </row>
    <row r="60" spans="1:9" ht="18.75" customHeight="1" x14ac:dyDescent="0.25">
      <c r="A60" s="880" t="s">
        <v>15</v>
      </c>
      <c r="B60" s="882" t="s">
        <v>198</v>
      </c>
      <c r="C60" s="478" t="s">
        <v>87</v>
      </c>
      <c r="D60" s="493">
        <v>1800</v>
      </c>
      <c r="E60" s="483">
        <v>745</v>
      </c>
      <c r="F60" s="484">
        <v>0</v>
      </c>
      <c r="G60" s="484">
        <v>1055</v>
      </c>
      <c r="H60" s="481">
        <f t="shared" si="4"/>
        <v>1055</v>
      </c>
      <c r="I60" s="517">
        <f t="shared" si="5"/>
        <v>100</v>
      </c>
    </row>
    <row r="61" spans="1:9" ht="18.75" customHeight="1" x14ac:dyDescent="0.25">
      <c r="A61" s="880"/>
      <c r="B61" s="882"/>
      <c r="C61" s="478" t="s">
        <v>88</v>
      </c>
      <c r="D61" s="493">
        <v>550</v>
      </c>
      <c r="E61" s="483">
        <v>228</v>
      </c>
      <c r="F61" s="484">
        <v>0</v>
      </c>
      <c r="G61" s="484">
        <v>322</v>
      </c>
      <c r="H61" s="481">
        <f t="shared" si="4"/>
        <v>322</v>
      </c>
      <c r="I61" s="517">
        <f t="shared" si="5"/>
        <v>100</v>
      </c>
    </row>
    <row r="62" spans="1:9" ht="18.75" customHeight="1" x14ac:dyDescent="0.25">
      <c r="A62" s="880"/>
      <c r="B62" s="882"/>
      <c r="C62" s="478" t="s">
        <v>222</v>
      </c>
      <c r="D62" s="493">
        <v>2350</v>
      </c>
      <c r="E62" s="483">
        <v>973</v>
      </c>
      <c r="F62" s="484">
        <v>0</v>
      </c>
      <c r="G62" s="484">
        <v>1377</v>
      </c>
      <c r="H62" s="481">
        <f t="shared" si="4"/>
        <v>1377</v>
      </c>
      <c r="I62" s="517">
        <f t="shared" si="5"/>
        <v>100</v>
      </c>
    </row>
    <row r="63" spans="1:9" ht="18.75" customHeight="1" x14ac:dyDescent="0.25">
      <c r="A63" s="880"/>
      <c r="B63" s="882" t="s">
        <v>417</v>
      </c>
      <c r="C63" s="478" t="s">
        <v>87</v>
      </c>
      <c r="D63" s="493">
        <v>1450</v>
      </c>
      <c r="E63" s="483">
        <v>220</v>
      </c>
      <c r="F63" s="484">
        <v>220</v>
      </c>
      <c r="G63" s="484">
        <v>1010</v>
      </c>
      <c r="H63" s="481">
        <f t="shared" si="4"/>
        <v>1230</v>
      </c>
      <c r="I63" s="517">
        <f t="shared" si="5"/>
        <v>82.113821138211378</v>
      </c>
    </row>
    <row r="64" spans="1:9" ht="18.75" customHeight="1" x14ac:dyDescent="0.25">
      <c r="A64" s="880"/>
      <c r="B64" s="882"/>
      <c r="C64" s="478" t="s">
        <v>88</v>
      </c>
      <c r="D64" s="493">
        <v>500</v>
      </c>
      <c r="E64" s="483">
        <v>345</v>
      </c>
      <c r="F64" s="484">
        <v>0</v>
      </c>
      <c r="G64" s="484">
        <v>155</v>
      </c>
      <c r="H64" s="481">
        <f t="shared" si="4"/>
        <v>155</v>
      </c>
      <c r="I64" s="517">
        <f t="shared" si="5"/>
        <v>100</v>
      </c>
    </row>
    <row r="65" spans="1:9" ht="18.75" customHeight="1" x14ac:dyDescent="0.25">
      <c r="A65" s="880"/>
      <c r="B65" s="882"/>
      <c r="C65" s="478" t="s">
        <v>240</v>
      </c>
      <c r="D65" s="493">
        <v>1050</v>
      </c>
      <c r="E65" s="483">
        <v>15</v>
      </c>
      <c r="F65" s="484">
        <v>278</v>
      </c>
      <c r="G65" s="484">
        <v>757</v>
      </c>
      <c r="H65" s="481">
        <f t="shared" si="4"/>
        <v>1035</v>
      </c>
      <c r="I65" s="517">
        <f t="shared" si="5"/>
        <v>73.140096618357489</v>
      </c>
    </row>
    <row r="66" spans="1:9" ht="18.75" customHeight="1" x14ac:dyDescent="0.25">
      <c r="A66" s="880"/>
      <c r="B66" s="882"/>
      <c r="C66" s="478" t="s">
        <v>222</v>
      </c>
      <c r="D66" s="493">
        <v>3000</v>
      </c>
      <c r="E66" s="483">
        <v>580</v>
      </c>
      <c r="F66" s="484">
        <v>498</v>
      </c>
      <c r="G66" s="484">
        <v>1922</v>
      </c>
      <c r="H66" s="481">
        <f t="shared" si="4"/>
        <v>2420</v>
      </c>
      <c r="I66" s="517">
        <f t="shared" si="5"/>
        <v>79.421487603305792</v>
      </c>
    </row>
    <row r="67" spans="1:9" ht="18.75" customHeight="1" x14ac:dyDescent="0.25">
      <c r="A67" s="880"/>
      <c r="B67" s="883" t="s">
        <v>418</v>
      </c>
      <c r="C67" s="478" t="s">
        <v>88</v>
      </c>
      <c r="D67" s="493">
        <v>1200</v>
      </c>
      <c r="E67" s="483">
        <v>637</v>
      </c>
      <c r="F67" s="484">
        <v>0</v>
      </c>
      <c r="G67" s="484">
        <v>563</v>
      </c>
      <c r="H67" s="481">
        <f t="shared" si="4"/>
        <v>563</v>
      </c>
      <c r="I67" s="517">
        <f t="shared" si="5"/>
        <v>100</v>
      </c>
    </row>
    <row r="68" spans="1:9" ht="18.75" customHeight="1" x14ac:dyDescent="0.25">
      <c r="A68" s="880"/>
      <c r="B68" s="884"/>
      <c r="C68" s="477" t="s">
        <v>240</v>
      </c>
      <c r="D68" s="493">
        <v>1800</v>
      </c>
      <c r="E68" s="483">
        <v>600</v>
      </c>
      <c r="F68" s="484">
        <v>170</v>
      </c>
      <c r="G68" s="484">
        <v>1030</v>
      </c>
      <c r="H68" s="481">
        <f t="shared" si="4"/>
        <v>1200</v>
      </c>
      <c r="I68" s="517">
        <f t="shared" si="5"/>
        <v>85.833333333333329</v>
      </c>
    </row>
    <row r="69" spans="1:9" ht="18.75" customHeight="1" x14ac:dyDescent="0.25">
      <c r="A69" s="880"/>
      <c r="B69" s="885"/>
      <c r="C69" s="478" t="s">
        <v>222</v>
      </c>
      <c r="D69" s="493">
        <v>3000</v>
      </c>
      <c r="E69" s="483">
        <v>1237</v>
      </c>
      <c r="F69" s="484">
        <v>170</v>
      </c>
      <c r="G69" s="484">
        <v>1593</v>
      </c>
      <c r="H69" s="481">
        <f t="shared" si="4"/>
        <v>1763</v>
      </c>
      <c r="I69" s="517">
        <f t="shared" si="5"/>
        <v>90.357345433919463</v>
      </c>
    </row>
    <row r="70" spans="1:9" ht="18.75" customHeight="1" x14ac:dyDescent="0.25">
      <c r="A70" s="880"/>
      <c r="B70" s="887" t="s">
        <v>363</v>
      </c>
      <c r="C70" s="887"/>
      <c r="D70" s="502">
        <v>8350</v>
      </c>
      <c r="E70" s="503">
        <v>2790</v>
      </c>
      <c r="F70" s="504">
        <f>F62+F66+F69</f>
        <v>668</v>
      </c>
      <c r="G70" s="504">
        <f>G62+G66+G69</f>
        <v>4892</v>
      </c>
      <c r="H70" s="503">
        <f t="shared" si="4"/>
        <v>5560</v>
      </c>
      <c r="I70" s="518">
        <f t="shared" si="5"/>
        <v>87.985611510791358</v>
      </c>
    </row>
    <row r="71" spans="1:9" ht="18.75" customHeight="1" x14ac:dyDescent="0.25">
      <c r="A71" s="880" t="s">
        <v>16</v>
      </c>
      <c r="B71" s="882" t="s">
        <v>198</v>
      </c>
      <c r="C71" s="478" t="s">
        <v>87</v>
      </c>
      <c r="D71" s="493">
        <v>1800</v>
      </c>
      <c r="E71" s="483">
        <v>745</v>
      </c>
      <c r="F71" s="484">
        <v>90</v>
      </c>
      <c r="G71" s="484">
        <v>965</v>
      </c>
      <c r="H71" s="481">
        <f t="shared" si="4"/>
        <v>1055</v>
      </c>
      <c r="I71" s="517">
        <f t="shared" si="5"/>
        <v>91.469194312796205</v>
      </c>
    </row>
    <row r="72" spans="1:9" ht="18.75" customHeight="1" x14ac:dyDescent="0.25">
      <c r="A72" s="880"/>
      <c r="B72" s="882"/>
      <c r="C72" s="478" t="s">
        <v>88</v>
      </c>
      <c r="D72" s="493">
        <v>550</v>
      </c>
      <c r="E72" s="483">
        <v>228</v>
      </c>
      <c r="F72" s="484">
        <v>7</v>
      </c>
      <c r="G72" s="484">
        <v>315</v>
      </c>
      <c r="H72" s="481">
        <f t="shared" si="4"/>
        <v>322</v>
      </c>
      <c r="I72" s="517">
        <f t="shared" si="5"/>
        <v>97.826086956521735</v>
      </c>
    </row>
    <row r="73" spans="1:9" ht="18.75" customHeight="1" x14ac:dyDescent="0.25">
      <c r="A73" s="880"/>
      <c r="B73" s="882"/>
      <c r="C73" s="478" t="s">
        <v>222</v>
      </c>
      <c r="D73" s="493">
        <v>2350</v>
      </c>
      <c r="E73" s="483">
        <v>973</v>
      </c>
      <c r="F73" s="484">
        <v>97</v>
      </c>
      <c r="G73" s="484">
        <v>1280</v>
      </c>
      <c r="H73" s="481">
        <f t="shared" si="4"/>
        <v>1377</v>
      </c>
      <c r="I73" s="517">
        <f t="shared" si="5"/>
        <v>92.955700798838052</v>
      </c>
    </row>
    <row r="74" spans="1:9" ht="18.75" customHeight="1" x14ac:dyDescent="0.25">
      <c r="A74" s="880"/>
      <c r="B74" s="882" t="s">
        <v>417</v>
      </c>
      <c r="C74" s="478" t="s">
        <v>87</v>
      </c>
      <c r="D74" s="493">
        <v>1450</v>
      </c>
      <c r="E74" s="483">
        <v>220</v>
      </c>
      <c r="F74" s="484">
        <v>228</v>
      </c>
      <c r="G74" s="484">
        <v>1002</v>
      </c>
      <c r="H74" s="481">
        <f t="shared" si="4"/>
        <v>1230</v>
      </c>
      <c r="I74" s="517">
        <f t="shared" si="5"/>
        <v>81.463414634146332</v>
      </c>
    </row>
    <row r="75" spans="1:9" ht="18.75" customHeight="1" x14ac:dyDescent="0.25">
      <c r="A75" s="880"/>
      <c r="B75" s="882"/>
      <c r="C75" s="478" t="s">
        <v>88</v>
      </c>
      <c r="D75" s="493">
        <v>500</v>
      </c>
      <c r="E75" s="483">
        <v>345</v>
      </c>
      <c r="F75" s="484">
        <v>112</v>
      </c>
      <c r="G75" s="484">
        <v>43</v>
      </c>
      <c r="H75" s="481">
        <f t="shared" si="4"/>
        <v>155</v>
      </c>
      <c r="I75" s="517">
        <f t="shared" si="5"/>
        <v>27.741935483870968</v>
      </c>
    </row>
    <row r="76" spans="1:9" ht="18.75" customHeight="1" x14ac:dyDescent="0.25">
      <c r="A76" s="880"/>
      <c r="B76" s="882"/>
      <c r="C76" s="478" t="s">
        <v>240</v>
      </c>
      <c r="D76" s="493">
        <v>1050</v>
      </c>
      <c r="E76" s="483">
        <v>15</v>
      </c>
      <c r="F76" s="484">
        <v>316</v>
      </c>
      <c r="G76" s="484">
        <v>719</v>
      </c>
      <c r="H76" s="481">
        <f t="shared" si="4"/>
        <v>1035</v>
      </c>
      <c r="I76" s="517">
        <f t="shared" si="5"/>
        <v>69.468599033816432</v>
      </c>
    </row>
    <row r="77" spans="1:9" ht="18.75" customHeight="1" x14ac:dyDescent="0.25">
      <c r="A77" s="880"/>
      <c r="B77" s="882"/>
      <c r="C77" s="478" t="s">
        <v>222</v>
      </c>
      <c r="D77" s="493">
        <v>3000</v>
      </c>
      <c r="E77" s="483">
        <v>580</v>
      </c>
      <c r="F77" s="484">
        <v>656</v>
      </c>
      <c r="G77" s="484">
        <v>1764</v>
      </c>
      <c r="H77" s="481">
        <f t="shared" si="4"/>
        <v>2420</v>
      </c>
      <c r="I77" s="517">
        <f t="shared" si="5"/>
        <v>72.892561983471069</v>
      </c>
    </row>
    <row r="78" spans="1:9" ht="18.75" customHeight="1" x14ac:dyDescent="0.25">
      <c r="A78" s="880"/>
      <c r="B78" s="883" t="s">
        <v>418</v>
      </c>
      <c r="C78" s="478" t="s">
        <v>88</v>
      </c>
      <c r="D78" s="493">
        <v>1200</v>
      </c>
      <c r="E78" s="483">
        <v>637</v>
      </c>
      <c r="F78" s="484">
        <v>16</v>
      </c>
      <c r="G78" s="484">
        <v>547</v>
      </c>
      <c r="H78" s="481">
        <f t="shared" si="4"/>
        <v>563</v>
      </c>
      <c r="I78" s="517">
        <f t="shared" si="5"/>
        <v>97.158081705150977</v>
      </c>
    </row>
    <row r="79" spans="1:9" ht="18.75" customHeight="1" x14ac:dyDescent="0.25">
      <c r="A79" s="880"/>
      <c r="B79" s="884"/>
      <c r="C79" s="477" t="s">
        <v>240</v>
      </c>
      <c r="D79" s="493">
        <v>1800</v>
      </c>
      <c r="E79" s="483">
        <v>600</v>
      </c>
      <c r="F79" s="484">
        <v>82</v>
      </c>
      <c r="G79" s="484">
        <v>1118</v>
      </c>
      <c r="H79" s="481">
        <f t="shared" si="4"/>
        <v>1200</v>
      </c>
      <c r="I79" s="517">
        <f t="shared" si="5"/>
        <v>93.166666666666657</v>
      </c>
    </row>
    <row r="80" spans="1:9" ht="18.75" customHeight="1" x14ac:dyDescent="0.25">
      <c r="A80" s="880"/>
      <c r="B80" s="885"/>
      <c r="C80" s="478" t="s">
        <v>222</v>
      </c>
      <c r="D80" s="493">
        <v>3000</v>
      </c>
      <c r="E80" s="483">
        <v>1237</v>
      </c>
      <c r="F80" s="484">
        <v>98</v>
      </c>
      <c r="G80" s="484">
        <v>1665</v>
      </c>
      <c r="H80" s="481">
        <f t="shared" si="4"/>
        <v>1763</v>
      </c>
      <c r="I80" s="517">
        <f t="shared" si="5"/>
        <v>94.441293250141797</v>
      </c>
    </row>
    <row r="81" spans="1:9" ht="18.75" customHeight="1" x14ac:dyDescent="0.25">
      <c r="A81" s="881"/>
      <c r="B81" s="886" t="s">
        <v>363</v>
      </c>
      <c r="C81" s="886"/>
      <c r="D81" s="505">
        <v>8350</v>
      </c>
      <c r="E81" s="506">
        <v>2790</v>
      </c>
      <c r="F81" s="507">
        <f>F73+F77+F80</f>
        <v>851</v>
      </c>
      <c r="G81" s="507">
        <f>G73+G77+G80</f>
        <v>4709</v>
      </c>
      <c r="H81" s="506">
        <f t="shared" si="4"/>
        <v>5560</v>
      </c>
      <c r="I81" s="514">
        <f t="shared" si="5"/>
        <v>84.694244604316552</v>
      </c>
    </row>
    <row r="82" spans="1:9" ht="18.75" customHeight="1" x14ac:dyDescent="0.25">
      <c r="A82" s="440"/>
      <c r="B82" s="487"/>
      <c r="C82" s="487"/>
      <c r="D82" s="488"/>
      <c r="E82" s="488"/>
      <c r="F82" s="489"/>
      <c r="G82" s="489"/>
      <c r="H82" s="489"/>
      <c r="I82" s="489" t="s">
        <v>92</v>
      </c>
    </row>
    <row r="83" spans="1:9" ht="17.25" customHeight="1" x14ac:dyDescent="0.25">
      <c r="A83" s="878" t="s">
        <v>4</v>
      </c>
      <c r="B83" s="878"/>
      <c r="C83" s="878"/>
      <c r="D83" s="878"/>
      <c r="E83" s="878"/>
      <c r="F83" s="878"/>
      <c r="G83" s="489"/>
      <c r="H83" s="489"/>
      <c r="I83" s="489"/>
    </row>
    <row r="84" spans="1:9" ht="18.75" customHeight="1" x14ac:dyDescent="0.25">
      <c r="A84" s="440"/>
      <c r="B84" s="487"/>
      <c r="C84" s="487"/>
      <c r="D84" s="488"/>
      <c r="E84" s="488"/>
      <c r="F84" s="489"/>
      <c r="G84" s="489"/>
      <c r="H84" s="489"/>
      <c r="I84" s="489"/>
    </row>
    <row r="85" spans="1:9" ht="18.75" customHeight="1" x14ac:dyDescent="0.25">
      <c r="A85" s="440"/>
      <c r="B85" s="487"/>
      <c r="C85" s="487"/>
      <c r="D85" s="488"/>
      <c r="E85" s="488"/>
      <c r="F85" s="489"/>
      <c r="G85" s="489"/>
      <c r="H85" s="489"/>
      <c r="I85" s="489"/>
    </row>
    <row r="86" spans="1:9" ht="18.75" customHeight="1" x14ac:dyDescent="0.25">
      <c r="A86" s="440"/>
      <c r="B86" s="487"/>
      <c r="C86" s="487"/>
      <c r="D86" s="488"/>
      <c r="E86" s="488"/>
      <c r="F86" s="489"/>
      <c r="G86" s="489"/>
      <c r="H86" s="489"/>
      <c r="I86" s="489"/>
    </row>
    <row r="87" spans="1:9" ht="18.75" customHeight="1" x14ac:dyDescent="0.25">
      <c r="A87" s="879" t="s">
        <v>255</v>
      </c>
      <c r="B87" s="879"/>
      <c r="C87" s="879"/>
      <c r="D87" s="879"/>
      <c r="E87" s="879"/>
      <c r="F87" s="879"/>
      <c r="G87" s="879"/>
      <c r="H87" s="529"/>
      <c r="I87" s="530">
        <v>50</v>
      </c>
    </row>
    <row r="88" spans="1:9" ht="18.75" customHeight="1" x14ac:dyDescent="0.25">
      <c r="A88" s="890" t="s">
        <v>452</v>
      </c>
      <c r="B88" s="890"/>
      <c r="C88" s="890"/>
      <c r="D88" s="890"/>
      <c r="E88" s="890"/>
      <c r="F88" s="890"/>
      <c r="G88" s="890"/>
      <c r="H88" s="890"/>
      <c r="I88" s="890"/>
    </row>
    <row r="89" spans="1:9" ht="18.75" customHeight="1" thickBot="1" x14ac:dyDescent="0.3">
      <c r="A89" s="891" t="s">
        <v>496</v>
      </c>
      <c r="B89" s="891"/>
      <c r="C89" s="891"/>
      <c r="D89" s="891"/>
      <c r="E89" s="891"/>
      <c r="F89" s="891"/>
      <c r="G89" s="891"/>
      <c r="H89" s="891"/>
      <c r="I89" s="891"/>
    </row>
    <row r="90" spans="1:9" ht="27.75" customHeight="1" thickTop="1" x14ac:dyDescent="0.25">
      <c r="A90" s="793" t="s">
        <v>360</v>
      </c>
      <c r="B90" s="793" t="s">
        <v>361</v>
      </c>
      <c r="C90" s="788" t="s">
        <v>362</v>
      </c>
      <c r="D90" s="793" t="s">
        <v>369</v>
      </c>
      <c r="E90" s="793" t="s">
        <v>368</v>
      </c>
      <c r="F90" s="792" t="s">
        <v>370</v>
      </c>
      <c r="G90" s="792"/>
      <c r="H90" s="892" t="s">
        <v>396</v>
      </c>
      <c r="I90" s="788" t="s">
        <v>364</v>
      </c>
    </row>
    <row r="91" spans="1:9" ht="27.75" customHeight="1" x14ac:dyDescent="0.25">
      <c r="A91" s="869"/>
      <c r="B91" s="869"/>
      <c r="C91" s="795"/>
      <c r="D91" s="869"/>
      <c r="E91" s="869"/>
      <c r="F91" s="180" t="s">
        <v>367</v>
      </c>
      <c r="G91" s="180" t="s">
        <v>366</v>
      </c>
      <c r="H91" s="893"/>
      <c r="I91" s="795"/>
    </row>
    <row r="92" spans="1:9" ht="18.75" customHeight="1" x14ac:dyDescent="0.25">
      <c r="A92" s="888" t="s">
        <v>17</v>
      </c>
      <c r="B92" s="889" t="s">
        <v>198</v>
      </c>
      <c r="C92" s="479" t="s">
        <v>87</v>
      </c>
      <c r="D92" s="492">
        <v>1800</v>
      </c>
      <c r="E92" s="481">
        <v>745</v>
      </c>
      <c r="F92" s="482">
        <v>100</v>
      </c>
      <c r="G92" s="482">
        <v>955</v>
      </c>
      <c r="H92" s="481">
        <f>F92+G92</f>
        <v>1055</v>
      </c>
      <c r="I92" s="517">
        <f>G92/H92*100</f>
        <v>90.521327014218016</v>
      </c>
    </row>
    <row r="93" spans="1:9" ht="18.75" customHeight="1" x14ac:dyDescent="0.25">
      <c r="A93" s="880"/>
      <c r="B93" s="882"/>
      <c r="C93" s="478" t="s">
        <v>88</v>
      </c>
      <c r="D93" s="493">
        <v>550</v>
      </c>
      <c r="E93" s="483">
        <v>228</v>
      </c>
      <c r="F93" s="484">
        <v>12</v>
      </c>
      <c r="G93" s="484">
        <v>310</v>
      </c>
      <c r="H93" s="481">
        <f t="shared" ref="H93:H124" si="6">F93+G93</f>
        <v>322</v>
      </c>
      <c r="I93" s="517">
        <f t="shared" ref="I93:I124" si="7">G93/H93*100</f>
        <v>96.273291925465841</v>
      </c>
    </row>
    <row r="94" spans="1:9" ht="18.75" customHeight="1" x14ac:dyDescent="0.25">
      <c r="A94" s="880"/>
      <c r="B94" s="882"/>
      <c r="C94" s="478" t="s">
        <v>222</v>
      </c>
      <c r="D94" s="493">
        <v>2350</v>
      </c>
      <c r="E94" s="483">
        <v>973</v>
      </c>
      <c r="F94" s="484">
        <v>112</v>
      </c>
      <c r="G94" s="484">
        <v>1265</v>
      </c>
      <c r="H94" s="481">
        <f t="shared" si="6"/>
        <v>1377</v>
      </c>
      <c r="I94" s="517">
        <f t="shared" si="7"/>
        <v>91.866376180101668</v>
      </c>
    </row>
    <row r="95" spans="1:9" ht="18.75" customHeight="1" x14ac:dyDescent="0.25">
      <c r="A95" s="880"/>
      <c r="B95" s="882" t="s">
        <v>417</v>
      </c>
      <c r="C95" s="478" t="s">
        <v>87</v>
      </c>
      <c r="D95" s="493">
        <v>1450</v>
      </c>
      <c r="E95" s="483">
        <v>220</v>
      </c>
      <c r="F95" s="484">
        <v>270</v>
      </c>
      <c r="G95" s="484">
        <v>960</v>
      </c>
      <c r="H95" s="481">
        <f t="shared" si="6"/>
        <v>1230</v>
      </c>
      <c r="I95" s="517">
        <f t="shared" si="7"/>
        <v>78.048780487804876</v>
      </c>
    </row>
    <row r="96" spans="1:9" ht="18.75" customHeight="1" x14ac:dyDescent="0.25">
      <c r="A96" s="880"/>
      <c r="B96" s="882"/>
      <c r="C96" s="478" t="s">
        <v>88</v>
      </c>
      <c r="D96" s="493">
        <v>500</v>
      </c>
      <c r="E96" s="483">
        <v>345</v>
      </c>
      <c r="F96" s="484">
        <v>50</v>
      </c>
      <c r="G96" s="484">
        <v>105</v>
      </c>
      <c r="H96" s="481">
        <f t="shared" si="6"/>
        <v>155</v>
      </c>
      <c r="I96" s="517">
        <f t="shared" si="7"/>
        <v>67.741935483870961</v>
      </c>
    </row>
    <row r="97" spans="1:9" ht="18.75" customHeight="1" x14ac:dyDescent="0.25">
      <c r="A97" s="880"/>
      <c r="B97" s="882"/>
      <c r="C97" s="478" t="s">
        <v>240</v>
      </c>
      <c r="D97" s="493">
        <v>1050</v>
      </c>
      <c r="E97" s="483">
        <v>15</v>
      </c>
      <c r="F97" s="484">
        <v>340</v>
      </c>
      <c r="G97" s="484">
        <v>695</v>
      </c>
      <c r="H97" s="481">
        <f t="shared" si="6"/>
        <v>1035</v>
      </c>
      <c r="I97" s="517">
        <f t="shared" si="7"/>
        <v>67.149758454106276</v>
      </c>
    </row>
    <row r="98" spans="1:9" ht="18.75" customHeight="1" x14ac:dyDescent="0.25">
      <c r="A98" s="880"/>
      <c r="B98" s="882"/>
      <c r="C98" s="478" t="s">
        <v>222</v>
      </c>
      <c r="D98" s="493">
        <v>3000</v>
      </c>
      <c r="E98" s="483">
        <v>580</v>
      </c>
      <c r="F98" s="484">
        <v>660</v>
      </c>
      <c r="G98" s="484">
        <v>1760</v>
      </c>
      <c r="H98" s="481">
        <f t="shared" si="6"/>
        <v>2420</v>
      </c>
      <c r="I98" s="517">
        <f t="shared" si="7"/>
        <v>72.727272727272734</v>
      </c>
    </row>
    <row r="99" spans="1:9" ht="18.75" customHeight="1" x14ac:dyDescent="0.25">
      <c r="A99" s="880"/>
      <c r="B99" s="883" t="s">
        <v>418</v>
      </c>
      <c r="C99" s="478" t="s">
        <v>88</v>
      </c>
      <c r="D99" s="493">
        <v>1200</v>
      </c>
      <c r="E99" s="483">
        <v>637</v>
      </c>
      <c r="F99" s="484">
        <v>21</v>
      </c>
      <c r="G99" s="484">
        <v>542</v>
      </c>
      <c r="H99" s="481">
        <f t="shared" si="6"/>
        <v>563</v>
      </c>
      <c r="I99" s="517">
        <f t="shared" si="7"/>
        <v>96.269982238010655</v>
      </c>
    </row>
    <row r="100" spans="1:9" ht="18.75" customHeight="1" x14ac:dyDescent="0.25">
      <c r="A100" s="880"/>
      <c r="B100" s="884"/>
      <c r="C100" s="477" t="s">
        <v>240</v>
      </c>
      <c r="D100" s="493">
        <v>1800</v>
      </c>
      <c r="E100" s="483">
        <v>600</v>
      </c>
      <c r="F100" s="484">
        <v>94</v>
      </c>
      <c r="G100" s="484">
        <v>1106</v>
      </c>
      <c r="H100" s="481">
        <f t="shared" si="6"/>
        <v>1200</v>
      </c>
      <c r="I100" s="517">
        <f t="shared" si="7"/>
        <v>92.166666666666657</v>
      </c>
    </row>
    <row r="101" spans="1:9" ht="18.75" customHeight="1" x14ac:dyDescent="0.25">
      <c r="A101" s="880"/>
      <c r="B101" s="885"/>
      <c r="C101" s="478" t="s">
        <v>222</v>
      </c>
      <c r="D101" s="493">
        <v>3000</v>
      </c>
      <c r="E101" s="483">
        <v>1237</v>
      </c>
      <c r="F101" s="484">
        <v>115</v>
      </c>
      <c r="G101" s="484">
        <v>1648</v>
      </c>
      <c r="H101" s="481">
        <f t="shared" si="6"/>
        <v>1763</v>
      </c>
      <c r="I101" s="517">
        <f t="shared" si="7"/>
        <v>93.47702779353375</v>
      </c>
    </row>
    <row r="102" spans="1:9" ht="18.75" customHeight="1" x14ac:dyDescent="0.25">
      <c r="A102" s="880"/>
      <c r="B102" s="887" t="s">
        <v>363</v>
      </c>
      <c r="C102" s="887"/>
      <c r="D102" s="502">
        <v>8350</v>
      </c>
      <c r="E102" s="503">
        <v>2790</v>
      </c>
      <c r="F102" s="504">
        <f>F94+F98+F101</f>
        <v>887</v>
      </c>
      <c r="G102" s="504">
        <f>G94+G98+G101</f>
        <v>4673</v>
      </c>
      <c r="H102" s="503">
        <f t="shared" si="6"/>
        <v>5560</v>
      </c>
      <c r="I102" s="518">
        <f t="shared" si="7"/>
        <v>84.046762589928065</v>
      </c>
    </row>
    <row r="103" spans="1:9" ht="18.75" customHeight="1" x14ac:dyDescent="0.25">
      <c r="A103" s="880" t="s">
        <v>22</v>
      </c>
      <c r="B103" s="882" t="s">
        <v>198</v>
      </c>
      <c r="C103" s="478" t="s">
        <v>87</v>
      </c>
      <c r="D103" s="493">
        <v>1800</v>
      </c>
      <c r="E103" s="483">
        <v>745</v>
      </c>
      <c r="F103" s="484">
        <v>100</v>
      </c>
      <c r="G103" s="484">
        <v>930</v>
      </c>
      <c r="H103" s="481">
        <v>1055</v>
      </c>
      <c r="I103" s="517">
        <f t="shared" si="7"/>
        <v>88.151658767772517</v>
      </c>
    </row>
    <row r="104" spans="1:9" ht="18.75" customHeight="1" x14ac:dyDescent="0.25">
      <c r="A104" s="880"/>
      <c r="B104" s="882"/>
      <c r="C104" s="478" t="s">
        <v>88</v>
      </c>
      <c r="D104" s="493">
        <v>550</v>
      </c>
      <c r="E104" s="483">
        <v>228</v>
      </c>
      <c r="F104" s="484">
        <v>12</v>
      </c>
      <c r="G104" s="484">
        <v>300</v>
      </c>
      <c r="H104" s="481">
        <v>322</v>
      </c>
      <c r="I104" s="517">
        <f t="shared" si="7"/>
        <v>93.16770186335404</v>
      </c>
    </row>
    <row r="105" spans="1:9" ht="18.75" customHeight="1" x14ac:dyDescent="0.25">
      <c r="A105" s="880"/>
      <c r="B105" s="882"/>
      <c r="C105" s="478" t="s">
        <v>222</v>
      </c>
      <c r="D105" s="493">
        <v>2350</v>
      </c>
      <c r="E105" s="483">
        <v>973</v>
      </c>
      <c r="F105" s="484">
        <v>112</v>
      </c>
      <c r="G105" s="484">
        <v>1230</v>
      </c>
      <c r="H105" s="481">
        <v>1377</v>
      </c>
      <c r="I105" s="517">
        <f t="shared" si="7"/>
        <v>89.324618736383442</v>
      </c>
    </row>
    <row r="106" spans="1:9" ht="18.75" customHeight="1" x14ac:dyDescent="0.25">
      <c r="A106" s="880"/>
      <c r="B106" s="882" t="s">
        <v>417</v>
      </c>
      <c r="C106" s="478" t="s">
        <v>87</v>
      </c>
      <c r="D106" s="493">
        <v>1450</v>
      </c>
      <c r="E106" s="483">
        <v>220</v>
      </c>
      <c r="F106" s="484">
        <v>270</v>
      </c>
      <c r="G106" s="484">
        <v>935</v>
      </c>
      <c r="H106" s="481">
        <v>1230</v>
      </c>
      <c r="I106" s="517">
        <f t="shared" si="7"/>
        <v>76.016260162601625</v>
      </c>
    </row>
    <row r="107" spans="1:9" ht="18.75" customHeight="1" x14ac:dyDescent="0.25">
      <c r="A107" s="880"/>
      <c r="B107" s="882"/>
      <c r="C107" s="478" t="s">
        <v>88</v>
      </c>
      <c r="D107" s="493">
        <v>500</v>
      </c>
      <c r="E107" s="483">
        <v>345</v>
      </c>
      <c r="F107" s="484">
        <v>50</v>
      </c>
      <c r="G107" s="484">
        <v>105</v>
      </c>
      <c r="H107" s="481">
        <v>155</v>
      </c>
      <c r="I107" s="517">
        <f t="shared" si="7"/>
        <v>67.741935483870961</v>
      </c>
    </row>
    <row r="108" spans="1:9" ht="18.75" customHeight="1" x14ac:dyDescent="0.25">
      <c r="A108" s="880"/>
      <c r="B108" s="882"/>
      <c r="C108" s="478" t="s">
        <v>240</v>
      </c>
      <c r="D108" s="493">
        <v>1050</v>
      </c>
      <c r="E108" s="483">
        <v>15</v>
      </c>
      <c r="F108" s="484">
        <v>340</v>
      </c>
      <c r="G108" s="484">
        <v>665</v>
      </c>
      <c r="H108" s="481">
        <v>1035</v>
      </c>
      <c r="I108" s="517">
        <f t="shared" si="7"/>
        <v>64.251207729468589</v>
      </c>
    </row>
    <row r="109" spans="1:9" ht="18.75" customHeight="1" x14ac:dyDescent="0.25">
      <c r="A109" s="880"/>
      <c r="B109" s="882"/>
      <c r="C109" s="478" t="s">
        <v>222</v>
      </c>
      <c r="D109" s="493">
        <v>3000</v>
      </c>
      <c r="E109" s="483">
        <v>580</v>
      </c>
      <c r="F109" s="484">
        <v>660</v>
      </c>
      <c r="G109" s="484">
        <v>1705</v>
      </c>
      <c r="H109" s="481">
        <v>2420</v>
      </c>
      <c r="I109" s="517">
        <f t="shared" si="7"/>
        <v>70.454545454545453</v>
      </c>
    </row>
    <row r="110" spans="1:9" ht="18.75" customHeight="1" x14ac:dyDescent="0.25">
      <c r="A110" s="880"/>
      <c r="B110" s="883" t="s">
        <v>418</v>
      </c>
      <c r="C110" s="478" t="s">
        <v>88</v>
      </c>
      <c r="D110" s="493">
        <v>1200</v>
      </c>
      <c r="E110" s="483">
        <v>637</v>
      </c>
      <c r="F110" s="484">
        <v>21</v>
      </c>
      <c r="G110" s="484">
        <v>542</v>
      </c>
      <c r="H110" s="481">
        <v>563</v>
      </c>
      <c r="I110" s="517">
        <f t="shared" si="7"/>
        <v>96.269982238010655</v>
      </c>
    </row>
    <row r="111" spans="1:9" ht="18.75" customHeight="1" x14ac:dyDescent="0.25">
      <c r="A111" s="880"/>
      <c r="B111" s="884"/>
      <c r="C111" s="477" t="s">
        <v>240</v>
      </c>
      <c r="D111" s="493">
        <v>1800</v>
      </c>
      <c r="E111" s="483">
        <v>600</v>
      </c>
      <c r="F111" s="484">
        <v>94</v>
      </c>
      <c r="G111" s="484">
        <v>1106</v>
      </c>
      <c r="H111" s="481">
        <v>1200</v>
      </c>
      <c r="I111" s="517">
        <f t="shared" si="7"/>
        <v>92.166666666666657</v>
      </c>
    </row>
    <row r="112" spans="1:9" ht="18.75" customHeight="1" x14ac:dyDescent="0.25">
      <c r="A112" s="880"/>
      <c r="B112" s="885"/>
      <c r="C112" s="478" t="s">
        <v>222</v>
      </c>
      <c r="D112" s="493">
        <v>3000</v>
      </c>
      <c r="E112" s="483">
        <v>1237</v>
      </c>
      <c r="F112" s="484">
        <v>115</v>
      </c>
      <c r="G112" s="484">
        <v>1648</v>
      </c>
      <c r="H112" s="481">
        <v>1763</v>
      </c>
      <c r="I112" s="517">
        <f t="shared" si="7"/>
        <v>93.47702779353375</v>
      </c>
    </row>
    <row r="113" spans="1:9" ht="18.75" customHeight="1" x14ac:dyDescent="0.25">
      <c r="A113" s="880"/>
      <c r="B113" s="887" t="s">
        <v>363</v>
      </c>
      <c r="C113" s="887"/>
      <c r="D113" s="502">
        <v>8350</v>
      </c>
      <c r="E113" s="503">
        <v>2790</v>
      </c>
      <c r="F113" s="504">
        <f>F105+F109+F112</f>
        <v>887</v>
      </c>
      <c r="G113" s="504">
        <f>G105+G109+G112</f>
        <v>4583</v>
      </c>
      <c r="H113" s="503">
        <f>H105+H109+H112</f>
        <v>5560</v>
      </c>
      <c r="I113" s="518">
        <f t="shared" si="7"/>
        <v>82.428057553956833</v>
      </c>
    </row>
    <row r="114" spans="1:9" ht="18.75" customHeight="1" x14ac:dyDescent="0.25">
      <c r="A114" s="880" t="s">
        <v>365</v>
      </c>
      <c r="B114" s="882" t="s">
        <v>198</v>
      </c>
      <c r="C114" s="478" t="s">
        <v>87</v>
      </c>
      <c r="D114" s="493">
        <v>1800</v>
      </c>
      <c r="E114" s="483">
        <v>745</v>
      </c>
      <c r="F114" s="484">
        <v>115</v>
      </c>
      <c r="G114" s="484">
        <v>940</v>
      </c>
      <c r="H114" s="481">
        <f t="shared" si="6"/>
        <v>1055</v>
      </c>
      <c r="I114" s="517">
        <f t="shared" si="7"/>
        <v>89.099526066350705</v>
      </c>
    </row>
    <row r="115" spans="1:9" ht="18.75" customHeight="1" x14ac:dyDescent="0.25">
      <c r="A115" s="880"/>
      <c r="B115" s="882"/>
      <c r="C115" s="478" t="s">
        <v>88</v>
      </c>
      <c r="D115" s="493">
        <v>550</v>
      </c>
      <c r="E115" s="483">
        <v>228</v>
      </c>
      <c r="F115" s="484">
        <v>17</v>
      </c>
      <c r="G115" s="484">
        <v>305</v>
      </c>
      <c r="H115" s="481">
        <f t="shared" si="6"/>
        <v>322</v>
      </c>
      <c r="I115" s="517">
        <f t="shared" si="7"/>
        <v>94.720496894409933</v>
      </c>
    </row>
    <row r="116" spans="1:9" ht="18.75" customHeight="1" x14ac:dyDescent="0.25">
      <c r="A116" s="880"/>
      <c r="B116" s="882"/>
      <c r="C116" s="478" t="s">
        <v>222</v>
      </c>
      <c r="D116" s="493">
        <v>2350</v>
      </c>
      <c r="E116" s="483">
        <v>973</v>
      </c>
      <c r="F116" s="484">
        <v>132</v>
      </c>
      <c r="G116" s="484">
        <v>1245</v>
      </c>
      <c r="H116" s="481">
        <f t="shared" si="6"/>
        <v>1377</v>
      </c>
      <c r="I116" s="517">
        <f t="shared" si="7"/>
        <v>90.413943355119827</v>
      </c>
    </row>
    <row r="117" spans="1:9" ht="18.75" customHeight="1" x14ac:dyDescent="0.25">
      <c r="A117" s="880"/>
      <c r="B117" s="882" t="s">
        <v>417</v>
      </c>
      <c r="C117" s="478" t="s">
        <v>87</v>
      </c>
      <c r="D117" s="493">
        <v>1450</v>
      </c>
      <c r="E117" s="483">
        <v>220</v>
      </c>
      <c r="F117" s="484">
        <v>356</v>
      </c>
      <c r="G117" s="484">
        <v>874</v>
      </c>
      <c r="H117" s="481">
        <f t="shared" si="6"/>
        <v>1230</v>
      </c>
      <c r="I117" s="517">
        <f t="shared" si="7"/>
        <v>71.056910569105696</v>
      </c>
    </row>
    <row r="118" spans="1:9" ht="18.75" customHeight="1" x14ac:dyDescent="0.25">
      <c r="A118" s="880"/>
      <c r="B118" s="882"/>
      <c r="C118" s="478" t="s">
        <v>88</v>
      </c>
      <c r="D118" s="493">
        <v>500</v>
      </c>
      <c r="E118" s="483">
        <v>345</v>
      </c>
      <c r="F118" s="484">
        <v>49</v>
      </c>
      <c r="G118" s="484">
        <v>106</v>
      </c>
      <c r="H118" s="481">
        <f t="shared" si="6"/>
        <v>155</v>
      </c>
      <c r="I118" s="517">
        <f t="shared" si="7"/>
        <v>68.387096774193552</v>
      </c>
    </row>
    <row r="119" spans="1:9" ht="18.75" customHeight="1" x14ac:dyDescent="0.25">
      <c r="A119" s="880"/>
      <c r="B119" s="882"/>
      <c r="C119" s="478" t="s">
        <v>240</v>
      </c>
      <c r="D119" s="493">
        <v>1050</v>
      </c>
      <c r="E119" s="483">
        <v>15</v>
      </c>
      <c r="F119" s="484">
        <v>358</v>
      </c>
      <c r="G119" s="484">
        <v>677</v>
      </c>
      <c r="H119" s="481">
        <f t="shared" si="6"/>
        <v>1035</v>
      </c>
      <c r="I119" s="517">
        <f t="shared" si="7"/>
        <v>65.410628019323667</v>
      </c>
    </row>
    <row r="120" spans="1:9" ht="18.75" customHeight="1" x14ac:dyDescent="0.25">
      <c r="A120" s="880"/>
      <c r="B120" s="882"/>
      <c r="C120" s="478" t="s">
        <v>222</v>
      </c>
      <c r="D120" s="493">
        <v>3000</v>
      </c>
      <c r="E120" s="483">
        <v>580</v>
      </c>
      <c r="F120" s="484">
        <v>763</v>
      </c>
      <c r="G120" s="484">
        <v>1657</v>
      </c>
      <c r="H120" s="481">
        <f t="shared" si="6"/>
        <v>2420</v>
      </c>
      <c r="I120" s="517">
        <f t="shared" si="7"/>
        <v>68.471074380165291</v>
      </c>
    </row>
    <row r="121" spans="1:9" ht="18.75" customHeight="1" x14ac:dyDescent="0.25">
      <c r="A121" s="880"/>
      <c r="B121" s="883" t="s">
        <v>418</v>
      </c>
      <c r="C121" s="478" t="s">
        <v>88</v>
      </c>
      <c r="D121" s="493">
        <v>1200</v>
      </c>
      <c r="E121" s="483">
        <v>637</v>
      </c>
      <c r="F121" s="484">
        <v>46</v>
      </c>
      <c r="G121" s="484">
        <v>517</v>
      </c>
      <c r="H121" s="481">
        <f t="shared" si="6"/>
        <v>563</v>
      </c>
      <c r="I121" s="517">
        <f t="shared" si="7"/>
        <v>91.829484902309062</v>
      </c>
    </row>
    <row r="122" spans="1:9" ht="18.75" customHeight="1" x14ac:dyDescent="0.25">
      <c r="A122" s="880"/>
      <c r="B122" s="884"/>
      <c r="C122" s="477" t="s">
        <v>240</v>
      </c>
      <c r="D122" s="493">
        <v>1800</v>
      </c>
      <c r="E122" s="483">
        <v>600</v>
      </c>
      <c r="F122" s="484">
        <v>122</v>
      </c>
      <c r="G122" s="484">
        <v>1078</v>
      </c>
      <c r="H122" s="481">
        <f t="shared" si="6"/>
        <v>1200</v>
      </c>
      <c r="I122" s="517">
        <f t="shared" si="7"/>
        <v>89.833333333333329</v>
      </c>
    </row>
    <row r="123" spans="1:9" ht="18.75" customHeight="1" x14ac:dyDescent="0.25">
      <c r="A123" s="880"/>
      <c r="B123" s="885"/>
      <c r="C123" s="478" t="s">
        <v>222</v>
      </c>
      <c r="D123" s="493">
        <v>3000</v>
      </c>
      <c r="E123" s="483">
        <v>1237</v>
      </c>
      <c r="F123" s="484">
        <v>168</v>
      </c>
      <c r="G123" s="484">
        <v>1595</v>
      </c>
      <c r="H123" s="481">
        <f t="shared" si="6"/>
        <v>1763</v>
      </c>
      <c r="I123" s="517">
        <f t="shared" si="7"/>
        <v>90.470788428814515</v>
      </c>
    </row>
    <row r="124" spans="1:9" ht="18.75" customHeight="1" x14ac:dyDescent="0.25">
      <c r="A124" s="881"/>
      <c r="B124" s="886" t="s">
        <v>363</v>
      </c>
      <c r="C124" s="886"/>
      <c r="D124" s="505">
        <v>8350</v>
      </c>
      <c r="E124" s="506">
        <v>2790</v>
      </c>
      <c r="F124" s="507">
        <f>F116+F120+F123</f>
        <v>1063</v>
      </c>
      <c r="G124" s="507">
        <f>G116+G120+G123</f>
        <v>4497</v>
      </c>
      <c r="H124" s="506">
        <f t="shared" si="6"/>
        <v>5560</v>
      </c>
      <c r="I124" s="514">
        <f t="shared" si="7"/>
        <v>80.881294964028768</v>
      </c>
    </row>
    <row r="125" spans="1:9" ht="18.75" customHeight="1" x14ac:dyDescent="0.25">
      <c r="A125" s="876"/>
      <c r="B125" s="876"/>
      <c r="C125" s="876"/>
      <c r="D125" s="876"/>
      <c r="E125" s="876"/>
      <c r="F125" s="877"/>
      <c r="G125" s="877"/>
      <c r="H125" s="519"/>
      <c r="I125" s="14"/>
    </row>
    <row r="126" spans="1:9" ht="18.75" customHeight="1" x14ac:dyDescent="0.25">
      <c r="A126" s="878" t="s">
        <v>4</v>
      </c>
      <c r="B126" s="878"/>
      <c r="C126" s="878"/>
      <c r="D126" s="878"/>
      <c r="E126" s="878"/>
      <c r="F126" s="878"/>
      <c r="G126" s="489"/>
      <c r="H126" s="489"/>
      <c r="I126" s="489" t="s">
        <v>92</v>
      </c>
    </row>
    <row r="127" spans="1:9" ht="18.75" customHeight="1" x14ac:dyDescent="0.25">
      <c r="A127" s="14"/>
      <c r="B127" s="14"/>
      <c r="C127" s="14"/>
      <c r="D127" s="14"/>
      <c r="E127" s="14"/>
      <c r="F127" s="14"/>
      <c r="G127" s="14"/>
      <c r="H127" s="519"/>
      <c r="I127" s="14"/>
    </row>
    <row r="128" spans="1:9" ht="18.75" customHeight="1" x14ac:dyDescent="0.25">
      <c r="A128" s="14"/>
      <c r="B128" s="14"/>
      <c r="C128" s="14"/>
      <c r="D128" s="14"/>
      <c r="E128" s="14"/>
      <c r="F128" s="14"/>
      <c r="G128" s="14"/>
      <c r="H128" s="519"/>
      <c r="I128" s="14"/>
    </row>
    <row r="129" spans="1:9" ht="18.75" customHeight="1" x14ac:dyDescent="0.25">
      <c r="A129" s="14"/>
      <c r="B129" s="14"/>
      <c r="C129" s="14"/>
      <c r="D129" s="14"/>
      <c r="E129" s="14"/>
      <c r="F129" s="14"/>
      <c r="G129" s="14"/>
      <c r="H129" s="519"/>
      <c r="I129" s="14"/>
    </row>
    <row r="130" spans="1:9" ht="18.75" customHeight="1" x14ac:dyDescent="0.25">
      <c r="A130" s="14"/>
      <c r="B130" s="14"/>
      <c r="C130" s="14"/>
      <c r="D130" s="14"/>
      <c r="E130" s="14"/>
      <c r="F130" s="14"/>
      <c r="G130" s="14"/>
      <c r="H130" s="519"/>
      <c r="I130" s="14"/>
    </row>
    <row r="131" spans="1:9" ht="18.75" customHeight="1" x14ac:dyDescent="0.25">
      <c r="A131" s="879" t="s">
        <v>255</v>
      </c>
      <c r="B131" s="879"/>
      <c r="C131" s="879"/>
      <c r="D131" s="879"/>
      <c r="E131" s="879"/>
      <c r="F131" s="879"/>
      <c r="G131" s="879"/>
      <c r="H131" s="529"/>
      <c r="I131" s="530">
        <v>51</v>
      </c>
    </row>
    <row r="132" spans="1:9" ht="18.75" customHeight="1" x14ac:dyDescent="0.25">
      <c r="A132" s="890" t="s">
        <v>452</v>
      </c>
      <c r="B132" s="890"/>
      <c r="C132" s="890"/>
      <c r="D132" s="890"/>
      <c r="E132" s="890"/>
      <c r="F132" s="890"/>
      <c r="G132" s="890"/>
      <c r="H132" s="890"/>
      <c r="I132" s="890"/>
    </row>
    <row r="133" spans="1:9" ht="18.75" customHeight="1" thickBot="1" x14ac:dyDescent="0.3">
      <c r="A133" s="891" t="s">
        <v>496</v>
      </c>
      <c r="B133" s="891"/>
      <c r="C133" s="891"/>
      <c r="D133" s="891"/>
      <c r="E133" s="891"/>
      <c r="F133" s="891"/>
      <c r="G133" s="891"/>
      <c r="H133" s="891"/>
      <c r="I133" s="891"/>
    </row>
    <row r="134" spans="1:9" ht="27.75" customHeight="1" thickTop="1" x14ac:dyDescent="0.25">
      <c r="A134" s="793" t="s">
        <v>360</v>
      </c>
      <c r="B134" s="793" t="s">
        <v>361</v>
      </c>
      <c r="C134" s="788" t="s">
        <v>362</v>
      </c>
      <c r="D134" s="793" t="s">
        <v>369</v>
      </c>
      <c r="E134" s="793" t="s">
        <v>368</v>
      </c>
      <c r="F134" s="792" t="s">
        <v>370</v>
      </c>
      <c r="G134" s="792"/>
      <c r="H134" s="892" t="s">
        <v>396</v>
      </c>
      <c r="I134" s="788" t="s">
        <v>364</v>
      </c>
    </row>
    <row r="135" spans="1:9" ht="27.75" customHeight="1" x14ac:dyDescent="0.25">
      <c r="A135" s="869"/>
      <c r="B135" s="869"/>
      <c r="C135" s="795"/>
      <c r="D135" s="869"/>
      <c r="E135" s="869"/>
      <c r="F135" s="180" t="s">
        <v>367</v>
      </c>
      <c r="G135" s="180" t="s">
        <v>366</v>
      </c>
      <c r="H135" s="893"/>
      <c r="I135" s="795"/>
    </row>
    <row r="136" spans="1:9" ht="18.75" customHeight="1" x14ac:dyDescent="0.25">
      <c r="A136" s="888" t="s">
        <v>64</v>
      </c>
      <c r="B136" s="889" t="s">
        <v>198</v>
      </c>
      <c r="C136" s="479" t="s">
        <v>87</v>
      </c>
      <c r="D136" s="492">
        <v>1800</v>
      </c>
      <c r="E136" s="481">
        <v>745</v>
      </c>
      <c r="F136" s="482">
        <v>125</v>
      </c>
      <c r="G136" s="482">
        <v>930</v>
      </c>
      <c r="H136" s="481">
        <f>F136+G136</f>
        <v>1055</v>
      </c>
      <c r="I136" s="517">
        <f>G136/H136*100</f>
        <v>88.151658767772517</v>
      </c>
    </row>
    <row r="137" spans="1:9" ht="18.75" customHeight="1" x14ac:dyDescent="0.25">
      <c r="A137" s="880"/>
      <c r="B137" s="882"/>
      <c r="C137" s="478" t="s">
        <v>88</v>
      </c>
      <c r="D137" s="493">
        <v>550</v>
      </c>
      <c r="E137" s="483">
        <v>228</v>
      </c>
      <c r="F137" s="484">
        <v>20</v>
      </c>
      <c r="G137" s="484">
        <v>302</v>
      </c>
      <c r="H137" s="481">
        <f t="shared" ref="H137:H165" si="8">F137+G137</f>
        <v>322</v>
      </c>
      <c r="I137" s="517">
        <f t="shared" ref="I137:I168" si="9">G137/H137*100</f>
        <v>93.788819875776397</v>
      </c>
    </row>
    <row r="138" spans="1:9" ht="18.75" customHeight="1" x14ac:dyDescent="0.25">
      <c r="A138" s="880"/>
      <c r="B138" s="882"/>
      <c r="C138" s="478" t="s">
        <v>222</v>
      </c>
      <c r="D138" s="493">
        <v>2350</v>
      </c>
      <c r="E138" s="483">
        <v>973</v>
      </c>
      <c r="F138" s="484">
        <v>145</v>
      </c>
      <c r="G138" s="484">
        <v>1232</v>
      </c>
      <c r="H138" s="481">
        <f t="shared" si="8"/>
        <v>1377</v>
      </c>
      <c r="I138" s="517">
        <f t="shared" si="9"/>
        <v>89.469862018881628</v>
      </c>
    </row>
    <row r="139" spans="1:9" ht="18.75" customHeight="1" x14ac:dyDescent="0.25">
      <c r="A139" s="880"/>
      <c r="B139" s="882" t="s">
        <v>417</v>
      </c>
      <c r="C139" s="478" t="s">
        <v>87</v>
      </c>
      <c r="D139" s="493">
        <v>1450</v>
      </c>
      <c r="E139" s="483">
        <v>220</v>
      </c>
      <c r="F139" s="508">
        <v>380</v>
      </c>
      <c r="G139" s="484">
        <v>850</v>
      </c>
      <c r="H139" s="481">
        <f t="shared" si="8"/>
        <v>1230</v>
      </c>
      <c r="I139" s="517">
        <f t="shared" si="9"/>
        <v>69.105691056910572</v>
      </c>
    </row>
    <row r="140" spans="1:9" ht="18.75" customHeight="1" x14ac:dyDescent="0.25">
      <c r="A140" s="880"/>
      <c r="B140" s="882"/>
      <c r="C140" s="478" t="s">
        <v>88</v>
      </c>
      <c r="D140" s="493">
        <v>500</v>
      </c>
      <c r="E140" s="483">
        <v>345</v>
      </c>
      <c r="F140" s="484">
        <v>51</v>
      </c>
      <c r="G140" s="484">
        <v>104</v>
      </c>
      <c r="H140" s="481">
        <f t="shared" si="8"/>
        <v>155</v>
      </c>
      <c r="I140" s="517">
        <f t="shared" si="9"/>
        <v>67.096774193548399</v>
      </c>
    </row>
    <row r="141" spans="1:9" ht="18.75" customHeight="1" x14ac:dyDescent="0.25">
      <c r="A141" s="880"/>
      <c r="B141" s="882"/>
      <c r="C141" s="478" t="s">
        <v>240</v>
      </c>
      <c r="D141" s="493">
        <v>1050</v>
      </c>
      <c r="E141" s="483">
        <v>15</v>
      </c>
      <c r="F141" s="484">
        <v>382</v>
      </c>
      <c r="G141" s="484">
        <v>653</v>
      </c>
      <c r="H141" s="481">
        <f t="shared" si="8"/>
        <v>1035</v>
      </c>
      <c r="I141" s="517">
        <f t="shared" si="9"/>
        <v>63.091787439613526</v>
      </c>
    </row>
    <row r="142" spans="1:9" ht="18.75" customHeight="1" x14ac:dyDescent="0.25">
      <c r="A142" s="880"/>
      <c r="B142" s="882"/>
      <c r="C142" s="478" t="s">
        <v>222</v>
      </c>
      <c r="D142" s="493">
        <v>3000</v>
      </c>
      <c r="E142" s="483">
        <v>580</v>
      </c>
      <c r="F142" s="484">
        <v>813</v>
      </c>
      <c r="G142" s="484">
        <v>1607</v>
      </c>
      <c r="H142" s="481">
        <f t="shared" si="8"/>
        <v>2420</v>
      </c>
      <c r="I142" s="517">
        <f t="shared" si="9"/>
        <v>66.404958677685954</v>
      </c>
    </row>
    <row r="143" spans="1:9" ht="18.75" customHeight="1" x14ac:dyDescent="0.25">
      <c r="A143" s="880"/>
      <c r="B143" s="883" t="s">
        <v>418</v>
      </c>
      <c r="C143" s="478" t="s">
        <v>88</v>
      </c>
      <c r="D143" s="493">
        <v>1200</v>
      </c>
      <c r="E143" s="483">
        <v>637</v>
      </c>
      <c r="F143" s="484">
        <v>50</v>
      </c>
      <c r="G143" s="484">
        <v>513</v>
      </c>
      <c r="H143" s="481">
        <f t="shared" si="8"/>
        <v>563</v>
      </c>
      <c r="I143" s="517">
        <f t="shared" si="9"/>
        <v>91.119005328596799</v>
      </c>
    </row>
    <row r="144" spans="1:9" ht="18.75" customHeight="1" x14ac:dyDescent="0.25">
      <c r="A144" s="880"/>
      <c r="B144" s="884"/>
      <c r="C144" s="477" t="s">
        <v>240</v>
      </c>
      <c r="D144" s="493">
        <v>1800</v>
      </c>
      <c r="E144" s="483">
        <v>600</v>
      </c>
      <c r="F144" s="484">
        <v>129</v>
      </c>
      <c r="G144" s="484">
        <v>1071</v>
      </c>
      <c r="H144" s="481">
        <f t="shared" si="8"/>
        <v>1200</v>
      </c>
      <c r="I144" s="517">
        <f t="shared" si="9"/>
        <v>89.25</v>
      </c>
    </row>
    <row r="145" spans="1:9" ht="18.75" customHeight="1" x14ac:dyDescent="0.25">
      <c r="A145" s="880"/>
      <c r="B145" s="885"/>
      <c r="C145" s="478" t="s">
        <v>222</v>
      </c>
      <c r="D145" s="493">
        <v>3000</v>
      </c>
      <c r="E145" s="483">
        <v>1237</v>
      </c>
      <c r="F145" s="484">
        <v>179</v>
      </c>
      <c r="G145" s="484">
        <v>1584</v>
      </c>
      <c r="H145" s="481">
        <f t="shared" si="8"/>
        <v>1763</v>
      </c>
      <c r="I145" s="517">
        <f t="shared" si="9"/>
        <v>89.846851956891655</v>
      </c>
    </row>
    <row r="146" spans="1:9" ht="18.75" customHeight="1" x14ac:dyDescent="0.25">
      <c r="A146" s="880"/>
      <c r="B146" s="887" t="s">
        <v>363</v>
      </c>
      <c r="C146" s="887"/>
      <c r="D146" s="502">
        <v>8350</v>
      </c>
      <c r="E146" s="503">
        <v>2790</v>
      </c>
      <c r="F146" s="504">
        <f>F138+F142+F145</f>
        <v>1137</v>
      </c>
      <c r="G146" s="504">
        <f>G138+G142+G145</f>
        <v>4423</v>
      </c>
      <c r="H146" s="503">
        <f t="shared" si="8"/>
        <v>5560</v>
      </c>
      <c r="I146" s="518">
        <f t="shared" si="9"/>
        <v>79.550359712230218</v>
      </c>
    </row>
    <row r="147" spans="1:9" ht="18.75" customHeight="1" x14ac:dyDescent="0.25">
      <c r="A147" s="880" t="s">
        <v>65</v>
      </c>
      <c r="B147" s="882" t="s">
        <v>198</v>
      </c>
      <c r="C147" s="478" t="s">
        <v>87</v>
      </c>
      <c r="D147" s="493">
        <v>1800</v>
      </c>
      <c r="E147" s="483">
        <v>745</v>
      </c>
      <c r="F147" s="484">
        <v>135</v>
      </c>
      <c r="G147" s="484">
        <v>920</v>
      </c>
      <c r="H147" s="481">
        <f t="shared" si="8"/>
        <v>1055</v>
      </c>
      <c r="I147" s="517">
        <f t="shared" si="9"/>
        <v>87.203791469194314</v>
      </c>
    </row>
    <row r="148" spans="1:9" ht="18.75" customHeight="1" x14ac:dyDescent="0.25">
      <c r="A148" s="880"/>
      <c r="B148" s="882"/>
      <c r="C148" s="478" t="s">
        <v>88</v>
      </c>
      <c r="D148" s="493">
        <v>550</v>
      </c>
      <c r="E148" s="483">
        <v>228</v>
      </c>
      <c r="F148" s="484">
        <v>22</v>
      </c>
      <c r="G148" s="484">
        <v>300</v>
      </c>
      <c r="H148" s="481">
        <f t="shared" si="8"/>
        <v>322</v>
      </c>
      <c r="I148" s="517">
        <f t="shared" si="9"/>
        <v>93.16770186335404</v>
      </c>
    </row>
    <row r="149" spans="1:9" ht="18.75" customHeight="1" x14ac:dyDescent="0.25">
      <c r="A149" s="880"/>
      <c r="B149" s="882"/>
      <c r="C149" s="478" t="s">
        <v>222</v>
      </c>
      <c r="D149" s="493">
        <v>2350</v>
      </c>
      <c r="E149" s="483">
        <v>973</v>
      </c>
      <c r="F149" s="484">
        <v>157</v>
      </c>
      <c r="G149" s="484">
        <v>1220</v>
      </c>
      <c r="H149" s="481">
        <f t="shared" si="8"/>
        <v>1377</v>
      </c>
      <c r="I149" s="517">
        <f t="shared" si="9"/>
        <v>88.598402323892529</v>
      </c>
    </row>
    <row r="150" spans="1:9" ht="18.75" customHeight="1" x14ac:dyDescent="0.25">
      <c r="A150" s="880"/>
      <c r="B150" s="882" t="s">
        <v>417</v>
      </c>
      <c r="C150" s="478" t="s">
        <v>87</v>
      </c>
      <c r="D150" s="493">
        <v>1450</v>
      </c>
      <c r="E150" s="483">
        <v>220</v>
      </c>
      <c r="F150" s="484">
        <v>400</v>
      </c>
      <c r="G150" s="484">
        <v>830</v>
      </c>
      <c r="H150" s="481">
        <f t="shared" si="8"/>
        <v>1230</v>
      </c>
      <c r="I150" s="517">
        <f t="shared" si="9"/>
        <v>67.479674796747972</v>
      </c>
    </row>
    <row r="151" spans="1:9" ht="18.75" customHeight="1" x14ac:dyDescent="0.25">
      <c r="A151" s="880"/>
      <c r="B151" s="882"/>
      <c r="C151" s="478" t="s">
        <v>88</v>
      </c>
      <c r="D151" s="493">
        <v>500</v>
      </c>
      <c r="E151" s="483">
        <v>345</v>
      </c>
      <c r="F151" s="484">
        <v>51</v>
      </c>
      <c r="G151" s="484">
        <v>104</v>
      </c>
      <c r="H151" s="481">
        <f t="shared" si="8"/>
        <v>155</v>
      </c>
      <c r="I151" s="517">
        <f t="shared" si="9"/>
        <v>67.096774193548399</v>
      </c>
    </row>
    <row r="152" spans="1:9" ht="18.75" customHeight="1" x14ac:dyDescent="0.25">
      <c r="A152" s="880"/>
      <c r="B152" s="882"/>
      <c r="C152" s="478" t="s">
        <v>240</v>
      </c>
      <c r="D152" s="493">
        <v>1050</v>
      </c>
      <c r="E152" s="483">
        <v>15</v>
      </c>
      <c r="F152" s="484">
        <v>393</v>
      </c>
      <c r="G152" s="484">
        <v>642</v>
      </c>
      <c r="H152" s="481">
        <f t="shared" si="8"/>
        <v>1035</v>
      </c>
      <c r="I152" s="517">
        <f t="shared" si="9"/>
        <v>62.028985507246382</v>
      </c>
    </row>
    <row r="153" spans="1:9" ht="18.75" customHeight="1" x14ac:dyDescent="0.25">
      <c r="A153" s="880"/>
      <c r="B153" s="882"/>
      <c r="C153" s="478" t="s">
        <v>222</v>
      </c>
      <c r="D153" s="493">
        <v>3000</v>
      </c>
      <c r="E153" s="483">
        <v>580</v>
      </c>
      <c r="F153" s="484">
        <v>844</v>
      </c>
      <c r="G153" s="484">
        <v>1576</v>
      </c>
      <c r="H153" s="481">
        <f t="shared" si="8"/>
        <v>2420</v>
      </c>
      <c r="I153" s="517">
        <f t="shared" si="9"/>
        <v>65.123966942148755</v>
      </c>
    </row>
    <row r="154" spans="1:9" ht="18.75" customHeight="1" x14ac:dyDescent="0.25">
      <c r="A154" s="880"/>
      <c r="B154" s="883" t="s">
        <v>418</v>
      </c>
      <c r="C154" s="478" t="s">
        <v>88</v>
      </c>
      <c r="D154" s="493">
        <v>1200</v>
      </c>
      <c r="E154" s="483">
        <v>637</v>
      </c>
      <c r="F154" s="484">
        <v>57</v>
      </c>
      <c r="G154" s="484">
        <v>506</v>
      </c>
      <c r="H154" s="481">
        <f t="shared" si="8"/>
        <v>563</v>
      </c>
      <c r="I154" s="517">
        <f t="shared" si="9"/>
        <v>89.87566607460036</v>
      </c>
    </row>
    <row r="155" spans="1:9" ht="18.75" customHeight="1" x14ac:dyDescent="0.25">
      <c r="A155" s="880"/>
      <c r="B155" s="884"/>
      <c r="C155" s="477" t="s">
        <v>240</v>
      </c>
      <c r="D155" s="493">
        <v>1800</v>
      </c>
      <c r="E155" s="483">
        <v>600</v>
      </c>
      <c r="F155" s="484">
        <v>157</v>
      </c>
      <c r="G155" s="484">
        <v>1043</v>
      </c>
      <c r="H155" s="481">
        <f t="shared" si="8"/>
        <v>1200</v>
      </c>
      <c r="I155" s="517">
        <f t="shared" si="9"/>
        <v>86.916666666666657</v>
      </c>
    </row>
    <row r="156" spans="1:9" ht="18.75" customHeight="1" x14ac:dyDescent="0.25">
      <c r="A156" s="880"/>
      <c r="B156" s="885"/>
      <c r="C156" s="478" t="s">
        <v>222</v>
      </c>
      <c r="D156" s="493">
        <v>3000</v>
      </c>
      <c r="E156" s="483">
        <v>1237</v>
      </c>
      <c r="F156" s="484">
        <v>214</v>
      </c>
      <c r="G156" s="484">
        <v>1549</v>
      </c>
      <c r="H156" s="481">
        <f t="shared" si="8"/>
        <v>1763</v>
      </c>
      <c r="I156" s="517">
        <f t="shared" si="9"/>
        <v>87.861599546228021</v>
      </c>
    </row>
    <row r="157" spans="1:9" ht="18.75" customHeight="1" x14ac:dyDescent="0.25">
      <c r="A157" s="880"/>
      <c r="B157" s="887" t="s">
        <v>363</v>
      </c>
      <c r="C157" s="887"/>
      <c r="D157" s="502">
        <v>8350</v>
      </c>
      <c r="E157" s="503">
        <v>2790</v>
      </c>
      <c r="F157" s="504">
        <f>F149+F153+F156</f>
        <v>1215</v>
      </c>
      <c r="G157" s="504">
        <f>G149+G153+G156</f>
        <v>4345</v>
      </c>
      <c r="H157" s="503">
        <f t="shared" si="8"/>
        <v>5560</v>
      </c>
      <c r="I157" s="518">
        <f t="shared" si="9"/>
        <v>78.147482014388487</v>
      </c>
    </row>
    <row r="158" spans="1:9" ht="18.75" customHeight="1" x14ac:dyDescent="0.25">
      <c r="A158" s="880" t="s">
        <v>66</v>
      </c>
      <c r="B158" s="882" t="s">
        <v>198</v>
      </c>
      <c r="C158" s="478" t="s">
        <v>87</v>
      </c>
      <c r="D158" s="493">
        <v>1800</v>
      </c>
      <c r="E158" s="483">
        <v>745</v>
      </c>
      <c r="F158" s="484">
        <v>124</v>
      </c>
      <c r="G158" s="484">
        <v>931</v>
      </c>
      <c r="H158" s="481">
        <f t="shared" si="8"/>
        <v>1055</v>
      </c>
      <c r="I158" s="517">
        <f t="shared" si="9"/>
        <v>88.246445497630333</v>
      </c>
    </row>
    <row r="159" spans="1:9" ht="18.75" customHeight="1" x14ac:dyDescent="0.25">
      <c r="A159" s="880"/>
      <c r="B159" s="882"/>
      <c r="C159" s="478" t="s">
        <v>88</v>
      </c>
      <c r="D159" s="493">
        <v>550</v>
      </c>
      <c r="E159" s="483">
        <v>228</v>
      </c>
      <c r="F159" s="484">
        <v>6</v>
      </c>
      <c r="G159" s="484">
        <v>316</v>
      </c>
      <c r="H159" s="481">
        <f t="shared" si="8"/>
        <v>322</v>
      </c>
      <c r="I159" s="517">
        <f t="shared" si="9"/>
        <v>98.136645962732914</v>
      </c>
    </row>
    <row r="160" spans="1:9" ht="18.75" customHeight="1" x14ac:dyDescent="0.25">
      <c r="A160" s="880"/>
      <c r="B160" s="882"/>
      <c r="C160" s="478" t="s">
        <v>222</v>
      </c>
      <c r="D160" s="493">
        <v>2350</v>
      </c>
      <c r="E160" s="483">
        <v>973</v>
      </c>
      <c r="F160" s="484">
        <v>130</v>
      </c>
      <c r="G160" s="484">
        <v>1247</v>
      </c>
      <c r="H160" s="481">
        <f t="shared" si="8"/>
        <v>1377</v>
      </c>
      <c r="I160" s="517">
        <f t="shared" si="9"/>
        <v>90.559186637618012</v>
      </c>
    </row>
    <row r="161" spans="1:9" ht="18.75" customHeight="1" x14ac:dyDescent="0.25">
      <c r="A161" s="880"/>
      <c r="B161" s="882" t="s">
        <v>417</v>
      </c>
      <c r="C161" s="478" t="s">
        <v>87</v>
      </c>
      <c r="D161" s="493">
        <v>1450</v>
      </c>
      <c r="E161" s="483">
        <v>220</v>
      </c>
      <c r="F161" s="484">
        <v>379</v>
      </c>
      <c r="G161" s="484">
        <v>851</v>
      </c>
      <c r="H161" s="481">
        <f t="shared" si="8"/>
        <v>1230</v>
      </c>
      <c r="I161" s="517">
        <f t="shared" si="9"/>
        <v>69.1869918699187</v>
      </c>
    </row>
    <row r="162" spans="1:9" ht="18.75" customHeight="1" x14ac:dyDescent="0.25">
      <c r="A162" s="880"/>
      <c r="B162" s="882"/>
      <c r="C162" s="478" t="s">
        <v>88</v>
      </c>
      <c r="D162" s="493">
        <v>500</v>
      </c>
      <c r="E162" s="483">
        <v>345</v>
      </c>
      <c r="F162" s="484">
        <v>0</v>
      </c>
      <c r="G162" s="484">
        <v>155</v>
      </c>
      <c r="H162" s="481">
        <f t="shared" si="8"/>
        <v>155</v>
      </c>
      <c r="I162" s="517">
        <f t="shared" si="9"/>
        <v>100</v>
      </c>
    </row>
    <row r="163" spans="1:9" ht="18.75" customHeight="1" x14ac:dyDescent="0.25">
      <c r="A163" s="880"/>
      <c r="B163" s="882"/>
      <c r="C163" s="478" t="s">
        <v>240</v>
      </c>
      <c r="D163" s="493">
        <v>1050</v>
      </c>
      <c r="E163" s="483">
        <v>15</v>
      </c>
      <c r="F163" s="484">
        <v>326</v>
      </c>
      <c r="G163" s="484">
        <v>709</v>
      </c>
      <c r="H163" s="481">
        <f t="shared" si="8"/>
        <v>1035</v>
      </c>
      <c r="I163" s="517">
        <f t="shared" si="9"/>
        <v>68.502415458937193</v>
      </c>
    </row>
    <row r="164" spans="1:9" ht="18.75" customHeight="1" x14ac:dyDescent="0.25">
      <c r="A164" s="880"/>
      <c r="B164" s="882"/>
      <c r="C164" s="478" t="s">
        <v>222</v>
      </c>
      <c r="D164" s="493">
        <v>3000</v>
      </c>
      <c r="E164" s="483">
        <v>580</v>
      </c>
      <c r="F164" s="484">
        <v>705</v>
      </c>
      <c r="G164" s="484">
        <v>1715</v>
      </c>
      <c r="H164" s="481">
        <f t="shared" si="8"/>
        <v>2420</v>
      </c>
      <c r="I164" s="517">
        <f t="shared" si="9"/>
        <v>70.867768595041326</v>
      </c>
    </row>
    <row r="165" spans="1:9" ht="18.75" customHeight="1" x14ac:dyDescent="0.25">
      <c r="A165" s="880"/>
      <c r="B165" s="883" t="s">
        <v>418</v>
      </c>
      <c r="C165" s="478" t="s">
        <v>88</v>
      </c>
      <c r="D165" s="493">
        <v>1200</v>
      </c>
      <c r="E165" s="483">
        <v>637</v>
      </c>
      <c r="F165" s="484">
        <v>63</v>
      </c>
      <c r="G165" s="484">
        <v>500</v>
      </c>
      <c r="H165" s="481">
        <f t="shared" si="8"/>
        <v>563</v>
      </c>
      <c r="I165" s="517">
        <f t="shared" si="9"/>
        <v>88.80994671403198</v>
      </c>
    </row>
    <row r="166" spans="1:9" ht="18.75" customHeight="1" x14ac:dyDescent="0.25">
      <c r="A166" s="880"/>
      <c r="B166" s="884"/>
      <c r="C166" s="477" t="s">
        <v>240</v>
      </c>
      <c r="D166" s="493">
        <v>1800</v>
      </c>
      <c r="E166" s="483">
        <v>600</v>
      </c>
      <c r="F166" s="484">
        <v>155</v>
      </c>
      <c r="G166" s="484">
        <v>1045</v>
      </c>
      <c r="H166" s="481">
        <v>1200</v>
      </c>
      <c r="I166" s="517">
        <f t="shared" si="9"/>
        <v>87.083333333333329</v>
      </c>
    </row>
    <row r="167" spans="1:9" ht="18.75" customHeight="1" x14ac:dyDescent="0.25">
      <c r="A167" s="880"/>
      <c r="B167" s="885"/>
      <c r="C167" s="478" t="s">
        <v>222</v>
      </c>
      <c r="D167" s="493">
        <v>3000</v>
      </c>
      <c r="E167" s="483">
        <v>1237</v>
      </c>
      <c r="F167" s="484">
        <v>218</v>
      </c>
      <c r="G167" s="484">
        <v>1545</v>
      </c>
      <c r="H167" s="481">
        <v>1763</v>
      </c>
      <c r="I167" s="517">
        <f t="shared" si="9"/>
        <v>87.634713556437887</v>
      </c>
    </row>
    <row r="168" spans="1:9" ht="18.75" customHeight="1" x14ac:dyDescent="0.25">
      <c r="A168" s="881"/>
      <c r="B168" s="886" t="s">
        <v>363</v>
      </c>
      <c r="C168" s="886"/>
      <c r="D168" s="505">
        <v>8350</v>
      </c>
      <c r="E168" s="506">
        <v>2790</v>
      </c>
      <c r="F168" s="507">
        <f>F160+F164+F167</f>
        <v>1053</v>
      </c>
      <c r="G168" s="507">
        <f>G160+G164+G167</f>
        <v>4507</v>
      </c>
      <c r="H168" s="506">
        <v>5560</v>
      </c>
      <c r="I168" s="514">
        <f t="shared" si="9"/>
        <v>81.061151079136692</v>
      </c>
    </row>
    <row r="169" spans="1:9" ht="18.75" customHeight="1" x14ac:dyDescent="0.25">
      <c r="A169" s="876"/>
      <c r="B169" s="876"/>
      <c r="C169" s="876"/>
      <c r="D169" s="876"/>
      <c r="E169" s="876"/>
      <c r="F169" s="877"/>
      <c r="G169" s="877"/>
      <c r="H169" s="519"/>
      <c r="I169" s="14"/>
    </row>
    <row r="170" spans="1:9" ht="24" customHeight="1" x14ac:dyDescent="0.25">
      <c r="A170" s="878" t="s">
        <v>4</v>
      </c>
      <c r="B170" s="878"/>
      <c r="C170" s="878"/>
      <c r="D170" s="878"/>
      <c r="E170" s="878"/>
      <c r="F170" s="878"/>
      <c r="G170" s="489"/>
      <c r="H170" s="489"/>
      <c r="I170" s="489"/>
    </row>
    <row r="171" spans="1:9" ht="18.75" customHeight="1" x14ac:dyDescent="0.25">
      <c r="A171" s="515"/>
      <c r="B171" s="515"/>
      <c r="C171" s="515"/>
      <c r="D171" s="515"/>
      <c r="E171" s="515"/>
      <c r="F171" s="515"/>
      <c r="G171" s="489"/>
      <c r="H171" s="489"/>
      <c r="I171" s="489"/>
    </row>
    <row r="172" spans="1:9" ht="18.75" customHeight="1" x14ac:dyDescent="0.25">
      <c r="A172" s="14"/>
      <c r="B172" s="14"/>
      <c r="C172" s="14"/>
      <c r="D172" s="14"/>
      <c r="E172" s="14"/>
      <c r="F172" s="14"/>
      <c r="G172" s="14"/>
      <c r="H172" s="519"/>
      <c r="I172" s="14"/>
    </row>
    <row r="173" spans="1:9" ht="18.75" customHeight="1" x14ac:dyDescent="0.25">
      <c r="A173" s="879" t="s">
        <v>255</v>
      </c>
      <c r="B173" s="879"/>
      <c r="C173" s="879"/>
      <c r="D173" s="879"/>
      <c r="E173" s="879"/>
      <c r="F173" s="879"/>
      <c r="G173" s="879"/>
      <c r="H173" s="529"/>
      <c r="I173" s="530">
        <v>52</v>
      </c>
    </row>
  </sheetData>
  <mergeCells count="110">
    <mergeCell ref="A125:G125"/>
    <mergeCell ref="B113:C113"/>
    <mergeCell ref="A103:A113"/>
    <mergeCell ref="B103:B105"/>
    <mergeCell ref="B106:B109"/>
    <mergeCell ref="B121:B123"/>
    <mergeCell ref="B124:C124"/>
    <mergeCell ref="A114:A124"/>
    <mergeCell ref="B114:B116"/>
    <mergeCell ref="B117:B120"/>
    <mergeCell ref="B26:C26"/>
    <mergeCell ref="A131:G131"/>
    <mergeCell ref="A89:I89"/>
    <mergeCell ref="A88:I88"/>
    <mergeCell ref="I47:I48"/>
    <mergeCell ref="E47:E48"/>
    <mergeCell ref="F47:G47"/>
    <mergeCell ref="H47:H48"/>
    <mergeCell ref="B67:B69"/>
    <mergeCell ref="B70:C70"/>
    <mergeCell ref="B99:B101"/>
    <mergeCell ref="B102:C102"/>
    <mergeCell ref="A92:A102"/>
    <mergeCell ref="B78:B80"/>
    <mergeCell ref="B81:C81"/>
    <mergeCell ref="B56:B58"/>
    <mergeCell ref="B59:C59"/>
    <mergeCell ref="B92:B94"/>
    <mergeCell ref="B95:B98"/>
    <mergeCell ref="A44:G44"/>
    <mergeCell ref="A87:G87"/>
    <mergeCell ref="A39:F39"/>
    <mergeCell ref="A126:F126"/>
    <mergeCell ref="B110:B112"/>
    <mergeCell ref="H90:H91"/>
    <mergeCell ref="I90:I91"/>
    <mergeCell ref="A90:A91"/>
    <mergeCell ref="B90:B91"/>
    <mergeCell ref="C90:C91"/>
    <mergeCell ref="D90:D91"/>
    <mergeCell ref="E90:E91"/>
    <mergeCell ref="F90:G90"/>
    <mergeCell ref="B34:B36"/>
    <mergeCell ref="B37:C37"/>
    <mergeCell ref="A27:A37"/>
    <mergeCell ref="A49:A59"/>
    <mergeCell ref="A60:A70"/>
    <mergeCell ref="A83:F83"/>
    <mergeCell ref="A71:A81"/>
    <mergeCell ref="D47:D48"/>
    <mergeCell ref="B60:B62"/>
    <mergeCell ref="B63:B66"/>
    <mergeCell ref="B74:B77"/>
    <mergeCell ref="B71:B73"/>
    <mergeCell ref="A47:A48"/>
    <mergeCell ref="C47:C48"/>
    <mergeCell ref="B27:B29"/>
    <mergeCell ref="B30:B33"/>
    <mergeCell ref="B49:B51"/>
    <mergeCell ref="B52:B55"/>
    <mergeCell ref="B47:B48"/>
    <mergeCell ref="A45:I45"/>
    <mergeCell ref="A46:I46"/>
    <mergeCell ref="A1:I1"/>
    <mergeCell ref="A2:I2"/>
    <mergeCell ref="D3:D4"/>
    <mergeCell ref="E3:E4"/>
    <mergeCell ref="F3:G3"/>
    <mergeCell ref="C3:C4"/>
    <mergeCell ref="H3:H4"/>
    <mergeCell ref="I3:I4"/>
    <mergeCell ref="A16:A26"/>
    <mergeCell ref="B16:B18"/>
    <mergeCell ref="A3:A4"/>
    <mergeCell ref="A5:A15"/>
    <mergeCell ref="B5:B7"/>
    <mergeCell ref="B8:B11"/>
    <mergeCell ref="B12:B14"/>
    <mergeCell ref="B3:B4"/>
    <mergeCell ref="B15:C15"/>
    <mergeCell ref="B19:B22"/>
    <mergeCell ref="B23:B25"/>
    <mergeCell ref="A136:A146"/>
    <mergeCell ref="B136:B138"/>
    <mergeCell ref="B139:B142"/>
    <mergeCell ref="B143:B145"/>
    <mergeCell ref="B146:C146"/>
    <mergeCell ref="A132:I132"/>
    <mergeCell ref="A133:I133"/>
    <mergeCell ref="A134:A135"/>
    <mergeCell ref="B134:B135"/>
    <mergeCell ref="C134:C135"/>
    <mergeCell ref="D134:D135"/>
    <mergeCell ref="E134:E135"/>
    <mergeCell ref="F134:G134"/>
    <mergeCell ref="H134:H135"/>
    <mergeCell ref="I134:I135"/>
    <mergeCell ref="A169:G169"/>
    <mergeCell ref="A170:F170"/>
    <mergeCell ref="A173:G173"/>
    <mergeCell ref="A158:A168"/>
    <mergeCell ref="B158:B160"/>
    <mergeCell ref="B161:B164"/>
    <mergeCell ref="B165:B167"/>
    <mergeCell ref="B168:C168"/>
    <mergeCell ref="A147:A157"/>
    <mergeCell ref="B147:B149"/>
    <mergeCell ref="B150:B153"/>
    <mergeCell ref="B154:B156"/>
    <mergeCell ref="B157:C15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verticalDpi="0" r:id="rId1"/>
  <rowBreaks count="2" manualBreakCount="2">
    <brk id="44" max="8" man="1"/>
    <brk id="87" max="8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2"/>
  <sheetViews>
    <sheetView rightToLeft="1" view="pageBreakPreview" zoomScale="110" zoomScaleSheetLayoutView="110" workbookViewId="0">
      <selection sqref="A1:E1"/>
    </sheetView>
  </sheetViews>
  <sheetFormatPr defaultRowHeight="15" x14ac:dyDescent="0.25"/>
  <cols>
    <col min="1" max="5" width="16.85546875" customWidth="1"/>
  </cols>
  <sheetData>
    <row r="1" spans="1:5" ht="32.25" customHeight="1" x14ac:dyDescent="0.25">
      <c r="A1" s="890" t="s">
        <v>453</v>
      </c>
      <c r="B1" s="890"/>
      <c r="C1" s="890"/>
      <c r="D1" s="890"/>
      <c r="E1" s="890"/>
    </row>
    <row r="2" spans="1:5" ht="24.75" customHeight="1" thickBot="1" x14ac:dyDescent="0.3">
      <c r="A2" s="222" t="s">
        <v>412</v>
      </c>
      <c r="B2" s="222"/>
      <c r="E2" s="410" t="s">
        <v>487</v>
      </c>
    </row>
    <row r="3" spans="1:5" ht="27.75" customHeight="1" thickTop="1" x14ac:dyDescent="0.25">
      <c r="A3" s="897" t="s">
        <v>245</v>
      </c>
      <c r="B3" s="899" t="s">
        <v>414</v>
      </c>
      <c r="C3" s="899"/>
      <c r="D3" s="899"/>
      <c r="E3" s="897" t="s">
        <v>422</v>
      </c>
    </row>
    <row r="4" spans="1:5" ht="30" customHeight="1" x14ac:dyDescent="0.25">
      <c r="A4" s="898"/>
      <c r="B4" s="180" t="s">
        <v>419</v>
      </c>
      <c r="C4" s="223" t="s">
        <v>420</v>
      </c>
      <c r="D4" s="223" t="s">
        <v>421</v>
      </c>
      <c r="E4" s="898"/>
    </row>
    <row r="5" spans="1:5" ht="24.75" customHeight="1" x14ac:dyDescent="0.25">
      <c r="A5" s="224" t="s">
        <v>67</v>
      </c>
      <c r="B5" s="228">
        <v>65</v>
      </c>
      <c r="C5" s="591">
        <v>284</v>
      </c>
      <c r="D5" s="228">
        <v>67</v>
      </c>
      <c r="E5" s="228">
        <f t="shared" ref="E5:E16" si="0">SUM(B5:D5)</f>
        <v>416</v>
      </c>
    </row>
    <row r="6" spans="1:5" ht="24.75" customHeight="1" x14ac:dyDescent="0.25">
      <c r="A6" s="225" t="s">
        <v>12</v>
      </c>
      <c r="B6" s="229">
        <v>164</v>
      </c>
      <c r="C6" s="229">
        <v>360</v>
      </c>
      <c r="D6" s="229">
        <v>107</v>
      </c>
      <c r="E6" s="229">
        <f t="shared" si="0"/>
        <v>631</v>
      </c>
    </row>
    <row r="7" spans="1:5" ht="24.75" customHeight="1" x14ac:dyDescent="0.25">
      <c r="A7" s="225" t="s">
        <v>21</v>
      </c>
      <c r="B7" s="229">
        <v>26</v>
      </c>
      <c r="C7" s="229">
        <v>264</v>
      </c>
      <c r="D7" s="229">
        <v>107</v>
      </c>
      <c r="E7" s="229">
        <f t="shared" si="0"/>
        <v>397</v>
      </c>
    </row>
    <row r="8" spans="1:5" ht="24.75" customHeight="1" x14ac:dyDescent="0.25">
      <c r="A8" s="225" t="s">
        <v>14</v>
      </c>
      <c r="B8" s="229">
        <v>91</v>
      </c>
      <c r="C8" s="229">
        <v>571</v>
      </c>
      <c r="D8" s="229">
        <v>214</v>
      </c>
      <c r="E8" s="229">
        <f t="shared" si="0"/>
        <v>876</v>
      </c>
    </row>
    <row r="9" spans="1:5" ht="24.75" customHeight="1" x14ac:dyDescent="0.25">
      <c r="A9" s="225" t="s">
        <v>15</v>
      </c>
      <c r="B9" s="229">
        <v>50</v>
      </c>
      <c r="C9" s="229">
        <v>509</v>
      </c>
      <c r="D9" s="229">
        <v>263</v>
      </c>
      <c r="E9" s="229">
        <f t="shared" si="0"/>
        <v>822</v>
      </c>
    </row>
    <row r="10" spans="1:5" ht="24.75" customHeight="1" x14ac:dyDescent="0.25">
      <c r="A10" s="225" t="s">
        <v>16</v>
      </c>
      <c r="B10" s="229">
        <v>60</v>
      </c>
      <c r="C10" s="229">
        <v>234</v>
      </c>
      <c r="D10" s="229">
        <v>212</v>
      </c>
      <c r="E10" s="229">
        <f t="shared" si="0"/>
        <v>506</v>
      </c>
    </row>
    <row r="11" spans="1:5" ht="24.75" customHeight="1" x14ac:dyDescent="0.25">
      <c r="A11" s="225" t="s">
        <v>17</v>
      </c>
      <c r="B11" s="229">
        <v>44</v>
      </c>
      <c r="C11" s="229">
        <v>207</v>
      </c>
      <c r="D11" s="229">
        <v>277</v>
      </c>
      <c r="E11" s="229">
        <f t="shared" si="0"/>
        <v>528</v>
      </c>
    </row>
    <row r="12" spans="1:5" ht="24.75" customHeight="1" x14ac:dyDescent="0.25">
      <c r="A12" s="225" t="s">
        <v>22</v>
      </c>
      <c r="B12" s="231">
        <v>49</v>
      </c>
      <c r="C12" s="229">
        <v>232</v>
      </c>
      <c r="D12" s="229">
        <v>219</v>
      </c>
      <c r="E12" s="229">
        <f t="shared" si="0"/>
        <v>500</v>
      </c>
    </row>
    <row r="13" spans="1:5" ht="24.75" customHeight="1" x14ac:dyDescent="0.25">
      <c r="A13" s="225" t="s">
        <v>19</v>
      </c>
      <c r="B13" s="229">
        <v>55</v>
      </c>
      <c r="C13" s="229">
        <v>254</v>
      </c>
      <c r="D13" s="229">
        <v>271</v>
      </c>
      <c r="E13" s="229">
        <f t="shared" si="0"/>
        <v>580</v>
      </c>
    </row>
    <row r="14" spans="1:5" ht="24.75" customHeight="1" x14ac:dyDescent="0.25">
      <c r="A14" s="226" t="s">
        <v>193</v>
      </c>
      <c r="B14" s="229">
        <v>48</v>
      </c>
      <c r="C14" s="229">
        <v>297</v>
      </c>
      <c r="D14" s="229">
        <v>359</v>
      </c>
      <c r="E14" s="229">
        <f t="shared" si="0"/>
        <v>704</v>
      </c>
    </row>
    <row r="15" spans="1:5" ht="24.75" customHeight="1" x14ac:dyDescent="0.25">
      <c r="A15" s="226" t="s">
        <v>65</v>
      </c>
      <c r="B15" s="229">
        <v>31</v>
      </c>
      <c r="C15" s="230">
        <v>176</v>
      </c>
      <c r="D15" s="230">
        <v>137</v>
      </c>
      <c r="E15" s="230">
        <f t="shared" si="0"/>
        <v>344</v>
      </c>
    </row>
    <row r="16" spans="1:5" ht="24.75" customHeight="1" x14ac:dyDescent="0.25">
      <c r="A16" s="227" t="s">
        <v>194</v>
      </c>
      <c r="B16" s="231">
        <v>86</v>
      </c>
      <c r="C16" s="231">
        <v>324</v>
      </c>
      <c r="D16" s="231">
        <v>222</v>
      </c>
      <c r="E16" s="231">
        <f t="shared" si="0"/>
        <v>632</v>
      </c>
    </row>
    <row r="17" spans="1:5" ht="24.75" customHeight="1" thickBot="1" x14ac:dyDescent="0.3">
      <c r="A17" s="332" t="s">
        <v>397</v>
      </c>
      <c r="B17" s="333">
        <f>SUM(B5:B16)</f>
        <v>769</v>
      </c>
      <c r="C17" s="333">
        <f>SUM(C5:C16)</f>
        <v>3712</v>
      </c>
      <c r="D17" s="333">
        <f>SUM(D5:D16)</f>
        <v>2455</v>
      </c>
      <c r="E17" s="724">
        <f>SUM(E5:E16)</f>
        <v>6936</v>
      </c>
    </row>
    <row r="18" spans="1:5" ht="24.75" customHeight="1" thickTop="1" x14ac:dyDescent="0.25">
      <c r="A18" s="900" t="s">
        <v>488</v>
      </c>
      <c r="B18" s="900"/>
      <c r="C18" s="900"/>
      <c r="D18" s="900"/>
      <c r="E18" s="900"/>
    </row>
    <row r="19" spans="1:5" ht="24.75" customHeight="1" x14ac:dyDescent="0.25">
      <c r="A19" s="901" t="s">
        <v>489</v>
      </c>
      <c r="B19" s="901"/>
      <c r="C19" s="901"/>
      <c r="D19" s="901"/>
      <c r="E19" s="901"/>
    </row>
    <row r="20" spans="1:5" ht="24.75" customHeight="1" x14ac:dyDescent="0.25">
      <c r="A20" s="798" t="s">
        <v>4</v>
      </c>
      <c r="B20" s="798"/>
      <c r="C20" s="798"/>
      <c r="D20" s="568"/>
      <c r="E20" s="568"/>
    </row>
    <row r="21" spans="1:5" ht="24.75" customHeight="1" x14ac:dyDescent="0.25">
      <c r="D21" s="175"/>
    </row>
    <row r="22" spans="1:5" ht="24.75" customHeight="1" x14ac:dyDescent="0.25">
      <c r="A22" s="559" t="s">
        <v>230</v>
      </c>
      <c r="B22" s="221"/>
      <c r="C22" s="221"/>
      <c r="D22" s="43"/>
      <c r="E22" s="43">
        <v>53</v>
      </c>
    </row>
  </sheetData>
  <mergeCells count="7">
    <mergeCell ref="E3:E4"/>
    <mergeCell ref="A1:E1"/>
    <mergeCell ref="B3:D3"/>
    <mergeCell ref="A3:A4"/>
    <mergeCell ref="A20:C20"/>
    <mergeCell ref="A18:E18"/>
    <mergeCell ref="A19:E19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3"/>
  <sheetViews>
    <sheetView rightToLeft="1" view="pageBreakPreview" zoomScale="80" zoomScaleSheetLayoutView="80" workbookViewId="0">
      <selection activeCell="B15" sqref="B15:M15"/>
    </sheetView>
  </sheetViews>
  <sheetFormatPr defaultRowHeight="15" x14ac:dyDescent="0.25"/>
  <cols>
    <col min="1" max="1" width="16.42578125" customWidth="1"/>
    <col min="2" max="13" width="9.85546875" customWidth="1"/>
    <col min="14" max="14" width="12.42578125" bestFit="1" customWidth="1"/>
    <col min="26" max="26" width="8.85546875" customWidth="1"/>
  </cols>
  <sheetData>
    <row r="1" spans="1:13" ht="1.5" customHeight="1" x14ac:dyDescent="0.25">
      <c r="A1" s="804"/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</row>
    <row r="2" spans="1:13" ht="29.25" customHeight="1" x14ac:dyDescent="0.25">
      <c r="A2" s="753" t="s">
        <v>454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753"/>
      <c r="M2" s="753"/>
    </row>
    <row r="3" spans="1:13" ht="29.25" customHeight="1" x14ac:dyDescent="0.25">
      <c r="A3" s="723" t="s">
        <v>508</v>
      </c>
      <c r="B3" s="723"/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5" t="s">
        <v>490</v>
      </c>
    </row>
    <row r="4" spans="1:13" ht="29.25" customHeight="1" thickBot="1" x14ac:dyDescent="0.3">
      <c r="A4" s="902" t="s">
        <v>198</v>
      </c>
      <c r="B4" s="902"/>
      <c r="C4" s="902"/>
      <c r="D4" s="902"/>
      <c r="E4" s="902"/>
      <c r="F4" s="902"/>
      <c r="G4" s="902"/>
      <c r="H4" s="902"/>
      <c r="I4" s="902"/>
      <c r="J4" s="902"/>
      <c r="K4" s="902"/>
      <c r="L4" s="902"/>
      <c r="M4" s="902"/>
    </row>
    <row r="5" spans="1:13" ht="29.25" customHeight="1" thickTop="1" x14ac:dyDescent="0.25">
      <c r="A5" s="788" t="s">
        <v>519</v>
      </c>
      <c r="B5" s="792" t="s">
        <v>324</v>
      </c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</row>
    <row r="6" spans="1:13" ht="29.25" customHeight="1" x14ac:dyDescent="0.25">
      <c r="A6" s="795"/>
      <c r="B6" s="196" t="s">
        <v>11</v>
      </c>
      <c r="C6" s="196" t="s">
        <v>12</v>
      </c>
      <c r="D6" s="196" t="s">
        <v>21</v>
      </c>
      <c r="E6" s="196" t="s">
        <v>14</v>
      </c>
      <c r="F6" s="196" t="s">
        <v>15</v>
      </c>
      <c r="G6" s="196" t="s">
        <v>16</v>
      </c>
      <c r="H6" s="196" t="s">
        <v>17</v>
      </c>
      <c r="I6" s="196" t="s">
        <v>22</v>
      </c>
      <c r="J6" s="196" t="s">
        <v>19</v>
      </c>
      <c r="K6" s="196" t="s">
        <v>195</v>
      </c>
      <c r="L6" s="196" t="s">
        <v>196</v>
      </c>
      <c r="M6" s="196" t="s">
        <v>197</v>
      </c>
    </row>
    <row r="7" spans="1:13" ht="29.25" customHeight="1" thickBot="1" x14ac:dyDescent="0.3">
      <c r="A7" s="392" t="s">
        <v>492</v>
      </c>
      <c r="B7" s="401">
        <v>24.23</v>
      </c>
      <c r="C7" s="401">
        <v>68.81</v>
      </c>
      <c r="D7" s="401">
        <v>9.74</v>
      </c>
      <c r="E7" s="401">
        <v>35.15</v>
      </c>
      <c r="F7" s="401">
        <v>18.579999999999998</v>
      </c>
      <c r="G7" s="401">
        <v>22.43</v>
      </c>
      <c r="H7" s="401">
        <v>16.61</v>
      </c>
      <c r="I7" s="401">
        <v>18.45</v>
      </c>
      <c r="J7" s="532">
        <v>20.67</v>
      </c>
      <c r="K7" s="532">
        <v>17.739999999999998</v>
      </c>
      <c r="L7" s="532">
        <v>11.57</v>
      </c>
      <c r="M7" s="532">
        <v>32.19</v>
      </c>
    </row>
    <row r="8" spans="1:13" ht="29.25" customHeight="1" thickTop="1" x14ac:dyDescent="0.25">
      <c r="A8" s="491"/>
      <c r="B8" s="491"/>
      <c r="C8" s="491"/>
      <c r="D8" s="491"/>
      <c r="E8" s="491"/>
      <c r="F8" s="491"/>
      <c r="G8" s="491"/>
      <c r="H8" s="491"/>
      <c r="I8" s="491"/>
      <c r="J8" s="408"/>
      <c r="K8" s="408"/>
      <c r="L8" s="408"/>
      <c r="M8" s="408"/>
    </row>
    <row r="9" spans="1:13" ht="29.25" customHeight="1" thickBot="1" x14ac:dyDescent="0.3">
      <c r="A9" s="902" t="s">
        <v>371</v>
      </c>
      <c r="B9" s="902"/>
      <c r="C9" s="902"/>
      <c r="D9" s="902"/>
      <c r="E9" s="902"/>
      <c r="F9" s="902"/>
      <c r="G9" s="902"/>
      <c r="H9" s="902"/>
      <c r="I9" s="902"/>
      <c r="J9" s="902"/>
      <c r="K9" s="902"/>
      <c r="L9" s="902"/>
      <c r="M9" s="902"/>
    </row>
    <row r="10" spans="1:13" ht="29.25" customHeight="1" thickTop="1" x14ac:dyDescent="0.25">
      <c r="A10" s="788" t="s">
        <v>519</v>
      </c>
      <c r="B10" s="904" t="s">
        <v>324</v>
      </c>
      <c r="C10" s="904"/>
      <c r="D10" s="904"/>
      <c r="E10" s="904"/>
      <c r="F10" s="904"/>
      <c r="G10" s="904"/>
      <c r="H10" s="904"/>
      <c r="I10" s="904"/>
      <c r="J10" s="904"/>
      <c r="K10" s="904"/>
      <c r="L10" s="904"/>
      <c r="M10" s="904"/>
    </row>
    <row r="11" spans="1:13" ht="29.25" customHeight="1" x14ac:dyDescent="0.25">
      <c r="A11" s="795"/>
      <c r="B11" s="197" t="s">
        <v>11</v>
      </c>
      <c r="C11" s="197" t="s">
        <v>12</v>
      </c>
      <c r="D11" s="197" t="s">
        <v>21</v>
      </c>
      <c r="E11" s="197" t="s">
        <v>14</v>
      </c>
      <c r="F11" s="197" t="s">
        <v>15</v>
      </c>
      <c r="G11" s="197" t="s">
        <v>16</v>
      </c>
      <c r="H11" s="197" t="s">
        <v>17</v>
      </c>
      <c r="I11" s="197" t="s">
        <v>22</v>
      </c>
      <c r="J11" s="197" t="s">
        <v>19</v>
      </c>
      <c r="K11" s="197" t="s">
        <v>195</v>
      </c>
      <c r="L11" s="197" t="s">
        <v>196</v>
      </c>
      <c r="M11" s="197" t="s">
        <v>197</v>
      </c>
    </row>
    <row r="12" spans="1:13" ht="29.25" customHeight="1" thickBot="1" x14ac:dyDescent="0.3">
      <c r="A12" s="533" t="s">
        <v>492</v>
      </c>
      <c r="B12" s="532">
        <v>105.98</v>
      </c>
      <c r="C12" s="532">
        <v>148.72</v>
      </c>
      <c r="D12" s="532">
        <v>98.740000000000009</v>
      </c>
      <c r="E12" s="532">
        <v>220.25</v>
      </c>
      <c r="F12" s="532">
        <v>189.94</v>
      </c>
      <c r="G12" s="532">
        <v>87.33</v>
      </c>
      <c r="H12" s="532">
        <v>77.44</v>
      </c>
      <c r="I12" s="532">
        <v>86.68</v>
      </c>
      <c r="J12" s="532">
        <v>94.69</v>
      </c>
      <c r="K12" s="532">
        <v>111.03</v>
      </c>
      <c r="L12" s="532">
        <v>65.790000000000006</v>
      </c>
      <c r="M12" s="532">
        <v>138.86000000000001</v>
      </c>
    </row>
    <row r="13" spans="1:13" ht="29.25" customHeight="1" thickTop="1" x14ac:dyDescent="0.25">
      <c r="A13" s="480"/>
      <c r="B13" s="178"/>
      <c r="C13" s="178"/>
      <c r="D13" s="178"/>
      <c r="E13" s="178"/>
      <c r="F13" s="178"/>
      <c r="G13" s="490"/>
      <c r="H13" s="178"/>
      <c r="I13" s="178"/>
      <c r="J13" s="178"/>
      <c r="K13" s="178"/>
      <c r="L13" s="178"/>
      <c r="M13" s="178"/>
    </row>
    <row r="14" spans="1:13" ht="29.25" customHeight="1" thickBot="1" x14ac:dyDescent="0.3">
      <c r="A14" s="902" t="s">
        <v>491</v>
      </c>
      <c r="B14" s="902"/>
      <c r="C14" s="902"/>
      <c r="D14" s="902"/>
      <c r="E14" s="902"/>
      <c r="F14" s="902"/>
      <c r="G14" s="902"/>
      <c r="H14" s="902"/>
      <c r="I14" s="902"/>
      <c r="J14" s="902"/>
      <c r="K14" s="902"/>
      <c r="L14" s="902"/>
      <c r="M14" s="902"/>
    </row>
    <row r="15" spans="1:13" ht="29.25" customHeight="1" thickTop="1" x14ac:dyDescent="0.25">
      <c r="A15" s="788" t="s">
        <v>519</v>
      </c>
      <c r="B15" s="792" t="s">
        <v>324</v>
      </c>
      <c r="C15" s="792"/>
      <c r="D15" s="792"/>
      <c r="E15" s="792"/>
      <c r="F15" s="792"/>
      <c r="G15" s="792"/>
      <c r="H15" s="792"/>
      <c r="I15" s="792"/>
      <c r="J15" s="792"/>
      <c r="K15" s="792"/>
      <c r="L15" s="792"/>
      <c r="M15" s="792"/>
    </row>
    <row r="16" spans="1:13" ht="29.25" customHeight="1" x14ac:dyDescent="0.25">
      <c r="A16" s="795"/>
      <c r="B16" s="196" t="s">
        <v>11</v>
      </c>
      <c r="C16" s="196" t="s">
        <v>12</v>
      </c>
      <c r="D16" s="196" t="s">
        <v>21</v>
      </c>
      <c r="E16" s="196" t="s">
        <v>14</v>
      </c>
      <c r="F16" s="196" t="s">
        <v>15</v>
      </c>
      <c r="G16" s="196" t="s">
        <v>16</v>
      </c>
      <c r="H16" s="196" t="s">
        <v>17</v>
      </c>
      <c r="I16" s="196" t="s">
        <v>22</v>
      </c>
      <c r="J16" s="196" t="s">
        <v>19</v>
      </c>
      <c r="K16" s="196" t="s">
        <v>195</v>
      </c>
      <c r="L16" s="196" t="s">
        <v>196</v>
      </c>
      <c r="M16" s="196" t="s">
        <v>197</v>
      </c>
    </row>
    <row r="17" spans="1:13" ht="29.25" customHeight="1" thickBot="1" x14ac:dyDescent="0.3">
      <c r="A17" s="533" t="s">
        <v>493</v>
      </c>
      <c r="B17" s="534">
        <v>25.16</v>
      </c>
      <c r="C17" s="534">
        <v>44.349999999999994</v>
      </c>
      <c r="D17" s="534">
        <v>40.019999999999996</v>
      </c>
      <c r="E17" s="534">
        <v>82.63</v>
      </c>
      <c r="F17" s="534">
        <v>98.13</v>
      </c>
      <c r="G17" s="534">
        <v>79</v>
      </c>
      <c r="H17" s="534">
        <v>103.31</v>
      </c>
      <c r="I17" s="534">
        <v>81.599999999999994</v>
      </c>
      <c r="J17" s="534">
        <v>101.22</v>
      </c>
      <c r="K17" s="534">
        <v>134.06</v>
      </c>
      <c r="L17" s="535">
        <v>51</v>
      </c>
      <c r="M17" s="535">
        <v>82.85</v>
      </c>
    </row>
    <row r="18" spans="1:13" ht="29.25" customHeight="1" thickTop="1" x14ac:dyDescent="0.25"/>
    <row r="19" spans="1:13" ht="29.25" customHeight="1" x14ac:dyDescent="0.25">
      <c r="A19" s="901" t="s">
        <v>488</v>
      </c>
      <c r="B19" s="901"/>
      <c r="C19" s="901"/>
      <c r="D19" s="901"/>
      <c r="E19" s="901"/>
      <c r="F19" s="901"/>
      <c r="G19" s="901"/>
      <c r="H19" s="901"/>
      <c r="I19" s="901"/>
      <c r="J19" s="901"/>
    </row>
    <row r="20" spans="1:13" ht="29.25" customHeight="1" x14ac:dyDescent="0.25">
      <c r="A20" s="901" t="s">
        <v>489</v>
      </c>
      <c r="B20" s="901"/>
      <c r="C20" s="901"/>
      <c r="D20" s="901"/>
      <c r="E20" s="901"/>
      <c r="F20" s="901"/>
      <c r="G20" s="901"/>
      <c r="H20" s="901"/>
      <c r="I20" s="901"/>
      <c r="J20" s="901"/>
    </row>
    <row r="21" spans="1:13" ht="29.25" customHeight="1" x14ac:dyDescent="0.25">
      <c r="A21" s="798" t="s">
        <v>4</v>
      </c>
      <c r="B21" s="798"/>
      <c r="C21" s="798"/>
      <c r="D21" s="798"/>
      <c r="E21" s="798"/>
      <c r="F21" s="798"/>
      <c r="G21" s="798"/>
      <c r="H21" s="798"/>
      <c r="I21" s="798"/>
      <c r="J21" s="798"/>
    </row>
    <row r="22" spans="1:13" ht="29.25" customHeight="1" thickBot="1" x14ac:dyDescent="0.3">
      <c r="A22" s="737"/>
      <c r="B22" s="737"/>
      <c r="C22" s="737"/>
      <c r="D22" s="737"/>
      <c r="E22" s="737"/>
      <c r="F22" s="737"/>
      <c r="G22" s="737"/>
      <c r="H22" s="737"/>
      <c r="I22" s="737"/>
      <c r="J22" s="737"/>
      <c r="K22" s="738"/>
    </row>
    <row r="23" spans="1:13" ht="29.25" customHeight="1" x14ac:dyDescent="0.25">
      <c r="A23" s="903" t="s">
        <v>255</v>
      </c>
      <c r="B23" s="903"/>
      <c r="C23" s="903"/>
      <c r="D23" s="903"/>
      <c r="E23" s="903"/>
      <c r="F23" s="903"/>
      <c r="G23" s="903"/>
      <c r="H23" s="498"/>
      <c r="I23" s="499"/>
      <c r="J23" s="263"/>
      <c r="K23" s="263"/>
      <c r="L23" s="263"/>
      <c r="M23" s="320">
        <v>54</v>
      </c>
    </row>
  </sheetData>
  <mergeCells count="15">
    <mergeCell ref="A23:G23"/>
    <mergeCell ref="B15:M15"/>
    <mergeCell ref="A15:A16"/>
    <mergeCell ref="A9:M9"/>
    <mergeCell ref="A14:M14"/>
    <mergeCell ref="A10:A11"/>
    <mergeCell ref="B10:M10"/>
    <mergeCell ref="A19:J19"/>
    <mergeCell ref="A20:J20"/>
    <mergeCell ref="A21:J21"/>
    <mergeCell ref="A5:A6"/>
    <mergeCell ref="B5:M5"/>
    <mergeCell ref="A1:M1"/>
    <mergeCell ref="A2:M2"/>
    <mergeCell ref="A4:M4"/>
  </mergeCells>
  <printOptions horizontalCentered="1"/>
  <pageMargins left="0.23622047244094491" right="0.23622047244094491" top="0.51181102362204722" bottom="0.51181102362204722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H33"/>
  <sheetViews>
    <sheetView rightToLeft="1" view="pageBreakPreview" topLeftCell="A5" zoomScale="150" zoomScaleNormal="120" zoomScaleSheetLayoutView="150" workbookViewId="0">
      <selection activeCell="D30" sqref="D30"/>
    </sheetView>
  </sheetViews>
  <sheetFormatPr defaultColWidth="9.140625" defaultRowHeight="15" x14ac:dyDescent="0.25"/>
  <cols>
    <col min="1" max="1" width="4.28515625" style="1" customWidth="1"/>
    <col min="2" max="2" width="10.140625" style="1" customWidth="1"/>
    <col min="3" max="8" width="16" style="1" customWidth="1"/>
    <col min="9" max="16384" width="9.140625" style="1"/>
  </cols>
  <sheetData>
    <row r="1" spans="1:8" ht="28.5" customHeight="1" x14ac:dyDescent="0.25">
      <c r="A1" s="771" t="s">
        <v>507</v>
      </c>
      <c r="B1" s="771"/>
      <c r="C1" s="771"/>
      <c r="D1" s="771"/>
      <c r="E1" s="771"/>
      <c r="F1" s="771"/>
      <c r="G1" s="771"/>
      <c r="H1" s="771"/>
    </row>
    <row r="2" spans="1:8" ht="24.75" customHeight="1" thickBot="1" x14ac:dyDescent="0.3">
      <c r="A2" s="774" t="s">
        <v>402</v>
      </c>
      <c r="B2" s="774"/>
      <c r="C2" s="705"/>
      <c r="D2" s="705"/>
      <c r="E2" s="705"/>
      <c r="F2" s="705"/>
      <c r="G2" s="705"/>
      <c r="H2" s="705"/>
    </row>
    <row r="3" spans="1:8" ht="22.5" customHeight="1" thickTop="1" x14ac:dyDescent="0.25">
      <c r="A3" s="775" t="s">
        <v>75</v>
      </c>
      <c r="B3" s="775"/>
      <c r="C3" s="772" t="s">
        <v>468</v>
      </c>
      <c r="D3" s="772"/>
      <c r="E3" s="772"/>
      <c r="F3" s="772"/>
      <c r="G3" s="772" t="s">
        <v>467</v>
      </c>
      <c r="H3" s="772" t="s">
        <v>223</v>
      </c>
    </row>
    <row r="4" spans="1:8" ht="22.5" customHeight="1" x14ac:dyDescent="0.25">
      <c r="A4" s="776"/>
      <c r="B4" s="776"/>
      <c r="C4" s="747" t="s">
        <v>463</v>
      </c>
      <c r="D4" s="747" t="s">
        <v>295</v>
      </c>
      <c r="E4" s="747" t="s">
        <v>464</v>
      </c>
      <c r="F4" s="747" t="s">
        <v>465</v>
      </c>
      <c r="G4" s="773"/>
      <c r="H4" s="773"/>
    </row>
    <row r="5" spans="1:8" ht="22.5" customHeight="1" x14ac:dyDescent="0.25">
      <c r="A5" s="777" t="s">
        <v>76</v>
      </c>
      <c r="B5" s="777"/>
      <c r="C5" s="708">
        <v>103927200</v>
      </c>
      <c r="D5" s="708">
        <v>725940000</v>
      </c>
      <c r="E5" s="708">
        <v>3504000</v>
      </c>
      <c r="F5" s="456">
        <v>0</v>
      </c>
      <c r="G5" s="708">
        <f t="shared" ref="G5:G20" si="0">SUM(C5:F5)</f>
        <v>833371200</v>
      </c>
      <c r="H5" s="636">
        <f>G5/59142784915*100</f>
        <v>1.4090834599651012</v>
      </c>
    </row>
    <row r="6" spans="1:8" ht="22.5" customHeight="1" x14ac:dyDescent="0.25">
      <c r="A6" s="766" t="s">
        <v>77</v>
      </c>
      <c r="B6" s="766"/>
      <c r="C6" s="708">
        <v>897848064</v>
      </c>
      <c r="D6" s="708">
        <v>342144000</v>
      </c>
      <c r="E6" s="708">
        <v>82187136</v>
      </c>
      <c r="F6" s="456">
        <v>0</v>
      </c>
      <c r="G6" s="708">
        <f t="shared" si="0"/>
        <v>1322179200</v>
      </c>
      <c r="H6" s="636">
        <f t="shared" ref="H6:H20" si="1">G6/59142784915*100</f>
        <v>2.2355714258302779</v>
      </c>
    </row>
    <row r="7" spans="1:8" ht="22.5" customHeight="1" x14ac:dyDescent="0.25">
      <c r="A7" s="766" t="s">
        <v>78</v>
      </c>
      <c r="B7" s="766"/>
      <c r="C7" s="708">
        <v>3703798656</v>
      </c>
      <c r="D7" s="708">
        <v>302745000</v>
      </c>
      <c r="E7" s="708">
        <v>28130000</v>
      </c>
      <c r="F7" s="456">
        <v>0</v>
      </c>
      <c r="G7" s="708">
        <f t="shared" si="0"/>
        <v>4034673656</v>
      </c>
      <c r="H7" s="636">
        <f t="shared" si="1"/>
        <v>6.8219203099729455</v>
      </c>
    </row>
    <row r="8" spans="1:8" ht="22.5" customHeight="1" x14ac:dyDescent="0.25">
      <c r="A8" s="766" t="s">
        <v>336</v>
      </c>
      <c r="B8" s="766"/>
      <c r="C8" s="708">
        <v>1641184000</v>
      </c>
      <c r="D8" s="708">
        <v>259580000</v>
      </c>
      <c r="E8" s="708">
        <v>53751000</v>
      </c>
      <c r="F8" s="456">
        <v>2365000</v>
      </c>
      <c r="G8" s="708">
        <f t="shared" si="0"/>
        <v>1956880000</v>
      </c>
      <c r="H8" s="636">
        <f t="shared" si="1"/>
        <v>3.3087383402936257</v>
      </c>
    </row>
    <row r="9" spans="1:8" ht="22.5" customHeight="1" x14ac:dyDescent="0.25">
      <c r="A9" s="766" t="s">
        <v>37</v>
      </c>
      <c r="B9" s="766"/>
      <c r="C9" s="708">
        <v>4793208120</v>
      </c>
      <c r="D9" s="708">
        <v>1576800000</v>
      </c>
      <c r="E9" s="727">
        <v>195523200</v>
      </c>
      <c r="F9" s="456">
        <v>0</v>
      </c>
      <c r="G9" s="708">
        <f t="shared" si="0"/>
        <v>6565531320</v>
      </c>
      <c r="H9" s="636">
        <f t="shared" si="1"/>
        <v>11.101153470260119</v>
      </c>
    </row>
    <row r="10" spans="1:8" ht="22.5" customHeight="1" x14ac:dyDescent="0.25">
      <c r="A10" s="766" t="s">
        <v>82</v>
      </c>
      <c r="B10" s="766"/>
      <c r="C10" s="708">
        <v>2840730789</v>
      </c>
      <c r="D10" s="708">
        <v>831635856</v>
      </c>
      <c r="E10" s="708">
        <v>24620155</v>
      </c>
      <c r="F10" s="708">
        <v>25228800</v>
      </c>
      <c r="G10" s="708">
        <f t="shared" si="0"/>
        <v>3722215600</v>
      </c>
      <c r="H10" s="636">
        <f t="shared" si="1"/>
        <v>6.2936089420705628</v>
      </c>
    </row>
    <row r="11" spans="1:8" ht="22.5" customHeight="1" x14ac:dyDescent="0.25">
      <c r="A11" s="766" t="s">
        <v>74</v>
      </c>
      <c r="B11" s="766"/>
      <c r="C11" s="708">
        <v>838899174</v>
      </c>
      <c r="D11" s="708">
        <v>430000000</v>
      </c>
      <c r="E11" s="708">
        <v>40000000</v>
      </c>
      <c r="F11" s="708">
        <v>4000000</v>
      </c>
      <c r="G11" s="708">
        <f t="shared" si="0"/>
        <v>1312899174</v>
      </c>
      <c r="H11" s="636">
        <f t="shared" si="1"/>
        <v>2.2198805414504887</v>
      </c>
    </row>
    <row r="12" spans="1:8" ht="22.5" customHeight="1" x14ac:dyDescent="0.25">
      <c r="A12" s="766" t="s">
        <v>81</v>
      </c>
      <c r="B12" s="766"/>
      <c r="C12" s="708">
        <v>6969456000</v>
      </c>
      <c r="D12" s="708">
        <v>315360000</v>
      </c>
      <c r="E12" s="708">
        <v>172818000</v>
      </c>
      <c r="F12" s="708">
        <v>141912000</v>
      </c>
      <c r="G12" s="708">
        <f t="shared" si="0"/>
        <v>7599546000</v>
      </c>
      <c r="H12" s="636">
        <f t="shared" si="1"/>
        <v>12.849489605405065</v>
      </c>
    </row>
    <row r="13" spans="1:8" ht="22.5" customHeight="1" x14ac:dyDescent="0.25">
      <c r="A13" s="766" t="s">
        <v>79</v>
      </c>
      <c r="B13" s="766"/>
      <c r="C13" s="708">
        <v>1978325712</v>
      </c>
      <c r="D13" s="708">
        <v>152329980</v>
      </c>
      <c r="E13" s="708">
        <v>102051270</v>
      </c>
      <c r="F13" s="456">
        <v>0</v>
      </c>
      <c r="G13" s="708">
        <f t="shared" si="0"/>
        <v>2232706962</v>
      </c>
      <c r="H13" s="636">
        <f t="shared" si="1"/>
        <v>3.7751130001890272</v>
      </c>
    </row>
    <row r="14" spans="1:8" ht="22.5" customHeight="1" x14ac:dyDescent="0.25">
      <c r="A14" s="766" t="s">
        <v>83</v>
      </c>
      <c r="B14" s="766"/>
      <c r="C14" s="708">
        <v>2706293376</v>
      </c>
      <c r="D14" s="708">
        <v>318387456</v>
      </c>
      <c r="E14" s="708">
        <v>127354982</v>
      </c>
      <c r="F14" s="708">
        <v>31838745</v>
      </c>
      <c r="G14" s="708">
        <f t="shared" si="0"/>
        <v>3183874559</v>
      </c>
      <c r="H14" s="636">
        <f t="shared" si="1"/>
        <v>5.3833693553251916</v>
      </c>
    </row>
    <row r="15" spans="1:8" ht="22.5" customHeight="1" x14ac:dyDescent="0.25">
      <c r="A15" s="766" t="s">
        <v>84</v>
      </c>
      <c r="B15" s="766"/>
      <c r="C15" s="708">
        <v>3369757724</v>
      </c>
      <c r="D15" s="708">
        <v>539161231</v>
      </c>
      <c r="E15" s="708">
        <v>136272301</v>
      </c>
      <c r="F15" s="708">
        <v>136272301</v>
      </c>
      <c r="G15" s="708">
        <f t="shared" si="0"/>
        <v>4181463557</v>
      </c>
      <c r="H15" s="636">
        <f t="shared" si="1"/>
        <v>7.0701160978631608</v>
      </c>
    </row>
    <row r="16" spans="1:8" ht="22.5" customHeight="1" x14ac:dyDescent="0.25">
      <c r="A16" s="766" t="s">
        <v>85</v>
      </c>
      <c r="B16" s="766"/>
      <c r="C16" s="708">
        <v>792499600</v>
      </c>
      <c r="D16" s="708">
        <v>100914600</v>
      </c>
      <c r="E16" s="708">
        <v>22863600</v>
      </c>
      <c r="F16" s="708">
        <v>14033520</v>
      </c>
      <c r="G16" s="708">
        <f t="shared" si="0"/>
        <v>930311320</v>
      </c>
      <c r="H16" s="636">
        <f t="shared" si="1"/>
        <v>1.5729920755964455</v>
      </c>
    </row>
    <row r="17" spans="1:8" ht="22.5" customHeight="1" x14ac:dyDescent="0.25">
      <c r="A17" s="766" t="s">
        <v>86</v>
      </c>
      <c r="B17" s="766"/>
      <c r="C17" s="708">
        <v>4889464560</v>
      </c>
      <c r="D17" s="708">
        <v>446256300</v>
      </c>
      <c r="E17" s="708">
        <v>705535474</v>
      </c>
      <c r="F17" s="708">
        <v>2264116466</v>
      </c>
      <c r="G17" s="708">
        <f t="shared" si="0"/>
        <v>8305372800</v>
      </c>
      <c r="H17" s="636">
        <f t="shared" si="1"/>
        <v>14.042918019394049</v>
      </c>
    </row>
    <row r="18" spans="1:8" ht="22.5" customHeight="1" x14ac:dyDescent="0.25">
      <c r="A18" s="766" t="s">
        <v>87</v>
      </c>
      <c r="B18" s="766"/>
      <c r="C18" s="708">
        <v>4282476171</v>
      </c>
      <c r="D18" s="708">
        <v>220752000</v>
      </c>
      <c r="E18" s="708">
        <v>315360000</v>
      </c>
      <c r="F18" s="708">
        <v>1419120000</v>
      </c>
      <c r="G18" s="708">
        <f t="shared" si="0"/>
        <v>6237708171</v>
      </c>
      <c r="H18" s="636">
        <f t="shared" si="1"/>
        <v>10.546862444784825</v>
      </c>
    </row>
    <row r="19" spans="1:8" ht="22.5" customHeight="1" x14ac:dyDescent="0.25">
      <c r="A19" s="770" t="s">
        <v>88</v>
      </c>
      <c r="B19" s="770"/>
      <c r="C19" s="709">
        <v>4426204516</v>
      </c>
      <c r="D19" s="709">
        <v>338294880</v>
      </c>
      <c r="E19" s="709">
        <v>404352000</v>
      </c>
      <c r="F19" s="709">
        <v>1555200000</v>
      </c>
      <c r="G19" s="709">
        <f t="shared" si="0"/>
        <v>6724051396</v>
      </c>
      <c r="H19" s="729">
        <f t="shared" si="1"/>
        <v>11.369182911599117</v>
      </c>
    </row>
    <row r="20" spans="1:8" ht="22.5" customHeight="1" thickBot="1" x14ac:dyDescent="0.3">
      <c r="A20" s="768" t="s">
        <v>466</v>
      </c>
      <c r="B20" s="768"/>
      <c r="C20" s="710">
        <f>SUM(C5:C19)</f>
        <v>44234073662</v>
      </c>
      <c r="D20" s="710">
        <f>SUM(D5:D19)</f>
        <v>6900301303</v>
      </c>
      <c r="E20" s="710">
        <f>SUM(E5:E19)</f>
        <v>2414323118</v>
      </c>
      <c r="F20" s="710">
        <f>SUM(F5:F19)</f>
        <v>5594086832</v>
      </c>
      <c r="G20" s="710">
        <f t="shared" si="0"/>
        <v>59142784915</v>
      </c>
      <c r="H20" s="730">
        <f t="shared" si="1"/>
        <v>100</v>
      </c>
    </row>
    <row r="21" spans="1:8" ht="5.25" customHeight="1" thickTop="1" x14ac:dyDescent="0.6">
      <c r="A21" s="703"/>
      <c r="B21" s="704"/>
      <c r="C21" s="704"/>
      <c r="D21" s="704"/>
      <c r="E21" s="704"/>
      <c r="F21" s="704"/>
      <c r="G21" s="704"/>
      <c r="H21" s="704"/>
    </row>
    <row r="22" spans="1:8" customFormat="1" x14ac:dyDescent="0.25">
      <c r="A22" s="765" t="s">
        <v>514</v>
      </c>
      <c r="B22" s="765"/>
      <c r="C22" s="765"/>
      <c r="D22" s="728"/>
      <c r="E22" s="728"/>
      <c r="F22" s="728"/>
      <c r="G22" s="728"/>
      <c r="H22" s="728"/>
    </row>
    <row r="23" spans="1:8" customFormat="1" x14ac:dyDescent="0.25">
      <c r="A23" s="562" t="s">
        <v>456</v>
      </c>
      <c r="B23" s="743" t="s">
        <v>515</v>
      </c>
      <c r="C23" s="743"/>
      <c r="D23" s="743"/>
      <c r="E23" s="743"/>
      <c r="F23" s="743"/>
      <c r="G23" s="743"/>
      <c r="H23" s="743"/>
    </row>
    <row r="24" spans="1:8" customFormat="1" x14ac:dyDescent="0.25">
      <c r="A24" s="562" t="s">
        <v>456</v>
      </c>
      <c r="B24" s="765" t="s">
        <v>516</v>
      </c>
      <c r="C24" s="765"/>
      <c r="D24" s="765"/>
      <c r="E24" s="765"/>
      <c r="F24" s="765"/>
      <c r="G24" s="743"/>
      <c r="H24" s="743"/>
    </row>
    <row r="25" spans="1:8" customFormat="1" x14ac:dyDescent="0.25">
      <c r="A25" s="562" t="s">
        <v>456</v>
      </c>
      <c r="B25" s="765" t="s">
        <v>517</v>
      </c>
      <c r="C25" s="765"/>
      <c r="D25" s="765"/>
      <c r="E25" s="765"/>
      <c r="F25" s="765"/>
      <c r="G25" s="743"/>
      <c r="H25" s="743"/>
    </row>
    <row r="26" spans="1:8" customFormat="1" x14ac:dyDescent="0.25">
      <c r="A26" s="562" t="s">
        <v>456</v>
      </c>
      <c r="B26" s="765" t="s">
        <v>494</v>
      </c>
      <c r="C26" s="765"/>
      <c r="D26" s="765"/>
      <c r="E26" s="765"/>
      <c r="F26" s="765"/>
      <c r="G26" s="743"/>
      <c r="H26" s="743"/>
    </row>
    <row r="27" spans="1:8" ht="17.25" customHeight="1" x14ac:dyDescent="0.25">
      <c r="A27" s="769" t="s">
        <v>4</v>
      </c>
      <c r="B27" s="769"/>
      <c r="C27" s="769"/>
      <c r="D27" s="769"/>
      <c r="E27" s="769"/>
      <c r="F27" s="769"/>
      <c r="G27" s="769"/>
      <c r="H27" s="769"/>
    </row>
    <row r="28" spans="1:8" ht="17.25" customHeight="1" x14ac:dyDescent="0.25">
      <c r="A28" s="767" t="s">
        <v>230</v>
      </c>
      <c r="B28" s="767"/>
      <c r="C28" s="767"/>
      <c r="D28" s="767"/>
      <c r="E28" s="706"/>
      <c r="F28" s="706"/>
      <c r="G28" s="706"/>
      <c r="H28" s="707">
        <v>17</v>
      </c>
    </row>
    <row r="32" spans="1:8" x14ac:dyDescent="0.25">
      <c r="F32" s="1">
        <f>C20/G20*100</f>
        <v>74.792003328171305</v>
      </c>
    </row>
    <row r="33" spans="6:6" x14ac:dyDescent="0.25">
      <c r="F33" s="1">
        <f>E20/G20*100</f>
        <v>4.08219383221447</v>
      </c>
    </row>
  </sheetData>
  <mergeCells count="28">
    <mergeCell ref="A15:B15"/>
    <mergeCell ref="A16:B16"/>
    <mergeCell ref="A8:B8"/>
    <mergeCell ref="A9:B9"/>
    <mergeCell ref="A10:B10"/>
    <mergeCell ref="A11:B11"/>
    <mergeCell ref="A12:B12"/>
    <mergeCell ref="A5:B5"/>
    <mergeCell ref="A6:B6"/>
    <mergeCell ref="A7:B7"/>
    <mergeCell ref="A13:B13"/>
    <mergeCell ref="A14:B14"/>
    <mergeCell ref="A1:H1"/>
    <mergeCell ref="C3:F3"/>
    <mergeCell ref="G3:G4"/>
    <mergeCell ref="H3:H4"/>
    <mergeCell ref="A2:B2"/>
    <mergeCell ref="A3:B4"/>
    <mergeCell ref="B24:F24"/>
    <mergeCell ref="B25:F25"/>
    <mergeCell ref="B26:F26"/>
    <mergeCell ref="A17:B17"/>
    <mergeCell ref="A28:D28"/>
    <mergeCell ref="A20:B20"/>
    <mergeCell ref="A27:H27"/>
    <mergeCell ref="A18:B18"/>
    <mergeCell ref="A19:B19"/>
    <mergeCell ref="A22:C22"/>
  </mergeCells>
  <printOptions horizontalCentered="1"/>
  <pageMargins left="1.45" right="1.45" top="0.5" bottom="0.5" header="0.3" footer="0.3"/>
  <pageSetup paperSize="9" scale="94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I50"/>
  <sheetViews>
    <sheetView rightToLeft="1" view="pageBreakPreview" zoomScaleSheetLayoutView="100" workbookViewId="0">
      <selection sqref="A1:P1"/>
    </sheetView>
  </sheetViews>
  <sheetFormatPr defaultRowHeight="15" x14ac:dyDescent="0.25"/>
  <cols>
    <col min="1" max="1" width="15" customWidth="1"/>
    <col min="2" max="2" width="11.5703125" customWidth="1"/>
    <col min="3" max="9" width="7.28515625" customWidth="1"/>
    <col min="10" max="10" width="1.140625" customWidth="1"/>
    <col min="11" max="15" width="7.28515625" customWidth="1"/>
    <col min="16" max="16" width="10.7109375" customWidth="1"/>
    <col min="17" max="17" width="12" bestFit="1" customWidth="1"/>
    <col min="18" max="18" width="7.5703125" customWidth="1"/>
    <col min="25" max="25" width="8" customWidth="1"/>
    <col min="31" max="32" width="9.140625" customWidth="1"/>
    <col min="33" max="33" width="10.42578125" bestFit="1" customWidth="1"/>
  </cols>
  <sheetData>
    <row r="1" spans="1:35" ht="23.25" customHeight="1" x14ac:dyDescent="0.25">
      <c r="A1" s="753" t="s">
        <v>428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Y1">
        <v>44.99</v>
      </c>
      <c r="Z1">
        <f>Y1*86/100</f>
        <v>38.691400000000002</v>
      </c>
    </row>
    <row r="2" spans="1:35" ht="20.25" customHeight="1" thickBot="1" x14ac:dyDescent="0.3">
      <c r="A2" s="790" t="s">
        <v>469</v>
      </c>
      <c r="B2" s="790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</row>
    <row r="3" spans="1:35" ht="26.25" customHeight="1" thickTop="1" x14ac:dyDescent="0.25">
      <c r="A3" s="793" t="s">
        <v>0</v>
      </c>
      <c r="B3" s="793" t="s">
        <v>1</v>
      </c>
      <c r="C3" s="792" t="s">
        <v>243</v>
      </c>
      <c r="D3" s="792"/>
      <c r="E3" s="792"/>
      <c r="F3" s="792"/>
      <c r="G3" s="792"/>
      <c r="H3" s="792"/>
      <c r="I3" s="792"/>
      <c r="J3" s="202"/>
      <c r="K3" s="792" t="s">
        <v>244</v>
      </c>
      <c r="L3" s="792"/>
      <c r="M3" s="792"/>
      <c r="N3" s="792"/>
      <c r="O3" s="792"/>
      <c r="P3" s="788" t="s">
        <v>233</v>
      </c>
    </row>
    <row r="4" spans="1:35" ht="26.25" customHeight="1" x14ac:dyDescent="0.25">
      <c r="A4" s="794"/>
      <c r="B4" s="794"/>
      <c r="C4" s="181" t="s">
        <v>9</v>
      </c>
      <c r="D4" s="181" t="s">
        <v>10</v>
      </c>
      <c r="E4" s="181" t="s">
        <v>11</v>
      </c>
      <c r="F4" s="181" t="s">
        <v>12</v>
      </c>
      <c r="G4" s="181" t="s">
        <v>21</v>
      </c>
      <c r="H4" s="181" t="s">
        <v>14</v>
      </c>
      <c r="I4" s="181" t="s">
        <v>15</v>
      </c>
      <c r="J4" s="205"/>
      <c r="K4" s="181" t="s">
        <v>16</v>
      </c>
      <c r="L4" s="181" t="s">
        <v>17</v>
      </c>
      <c r="M4" s="181" t="s">
        <v>22</v>
      </c>
      <c r="N4" s="181" t="s">
        <v>19</v>
      </c>
      <c r="O4" s="181" t="s">
        <v>195</v>
      </c>
      <c r="P4" s="789"/>
      <c r="AE4" t="s">
        <v>217</v>
      </c>
      <c r="AG4" t="s">
        <v>325</v>
      </c>
      <c r="AH4" t="s">
        <v>218</v>
      </c>
    </row>
    <row r="5" spans="1:35" ht="24.75" customHeight="1" x14ac:dyDescent="0.25">
      <c r="A5" s="780" t="s">
        <v>23</v>
      </c>
      <c r="B5" s="409" t="s">
        <v>393</v>
      </c>
      <c r="C5" s="149">
        <v>622</v>
      </c>
      <c r="D5" s="149">
        <v>645</v>
      </c>
      <c r="E5" s="149">
        <v>587</v>
      </c>
      <c r="F5" s="149">
        <v>517</v>
      </c>
      <c r="G5" s="149">
        <v>628</v>
      </c>
      <c r="H5" s="149">
        <v>564</v>
      </c>
      <c r="I5" s="149">
        <v>541</v>
      </c>
      <c r="J5" s="149"/>
      <c r="K5" s="149">
        <v>543</v>
      </c>
      <c r="L5" s="149">
        <v>620</v>
      </c>
      <c r="M5" s="149">
        <v>622</v>
      </c>
      <c r="N5" s="149">
        <v>659</v>
      </c>
      <c r="O5" s="149">
        <v>631</v>
      </c>
      <c r="P5" s="150">
        <v>18.866412</v>
      </c>
      <c r="R5" s="149">
        <v>622</v>
      </c>
      <c r="S5" s="149">
        <v>645</v>
      </c>
      <c r="T5" s="149">
        <v>587</v>
      </c>
      <c r="U5" s="149">
        <v>517</v>
      </c>
      <c r="V5" s="149">
        <v>628</v>
      </c>
      <c r="W5" s="149">
        <v>564</v>
      </c>
      <c r="X5" s="149">
        <v>541</v>
      </c>
      <c r="Y5" s="149"/>
      <c r="Z5" s="149">
        <v>543</v>
      </c>
      <c r="AA5" s="149">
        <v>620</v>
      </c>
      <c r="AB5" s="149">
        <v>622</v>
      </c>
      <c r="AC5" s="149">
        <v>659</v>
      </c>
      <c r="AD5" s="149">
        <v>631</v>
      </c>
      <c r="AE5">
        <f t="shared" ref="AE5:AE14" si="0">SUM(R5:AD5)</f>
        <v>7179</v>
      </c>
      <c r="AF5">
        <f>AE5*60*60*24*365</f>
        <v>226396944000</v>
      </c>
      <c r="AG5">
        <f>AF5/1000000000</f>
        <v>226.39694399999999</v>
      </c>
      <c r="AH5" s="10">
        <f>AG5/12</f>
        <v>18.866412</v>
      </c>
    </row>
    <row r="6" spans="1:35" ht="24.75" customHeight="1" x14ac:dyDescent="0.25">
      <c r="A6" s="781"/>
      <c r="B6" s="304" t="s">
        <v>429</v>
      </c>
      <c r="C6" s="62">
        <v>532</v>
      </c>
      <c r="D6" s="62">
        <v>468</v>
      </c>
      <c r="E6" s="62">
        <v>600</v>
      </c>
      <c r="F6" s="62">
        <v>868</v>
      </c>
      <c r="G6" s="62">
        <v>843</v>
      </c>
      <c r="H6" s="62">
        <v>1218</v>
      </c>
      <c r="I6" s="62">
        <v>976</v>
      </c>
      <c r="J6" s="62"/>
      <c r="K6" s="62">
        <v>856</v>
      </c>
      <c r="L6" s="62">
        <v>985</v>
      </c>
      <c r="M6" s="62">
        <v>992</v>
      </c>
      <c r="N6" s="62">
        <v>944</v>
      </c>
      <c r="O6" s="62">
        <v>798</v>
      </c>
      <c r="P6" s="64">
        <v>26.49024</v>
      </c>
      <c r="R6" s="62">
        <v>532</v>
      </c>
      <c r="S6" s="62">
        <v>468</v>
      </c>
      <c r="T6" s="62">
        <v>600</v>
      </c>
      <c r="U6" s="62">
        <v>868</v>
      </c>
      <c r="V6" s="62">
        <v>843</v>
      </c>
      <c r="W6" s="62">
        <v>1218</v>
      </c>
      <c r="X6" s="62">
        <v>976</v>
      </c>
      <c r="Y6" s="62"/>
      <c r="Z6" s="62">
        <v>856</v>
      </c>
      <c r="AA6" s="62">
        <v>985</v>
      </c>
      <c r="AB6" s="62">
        <v>992</v>
      </c>
      <c r="AC6" s="62">
        <v>944</v>
      </c>
      <c r="AD6" s="62">
        <v>798</v>
      </c>
      <c r="AE6" s="10">
        <f t="shared" si="0"/>
        <v>10080</v>
      </c>
      <c r="AF6">
        <f t="shared" ref="AF6:AF14" si="1">AE6*60*60*24*365</f>
        <v>317882880000</v>
      </c>
      <c r="AG6">
        <f t="shared" ref="AG6:AG14" si="2">AF6/1000000000</f>
        <v>317.88288</v>
      </c>
      <c r="AH6" s="10">
        <f t="shared" ref="AH6:AH14" si="3">AG6/12</f>
        <v>26.49024</v>
      </c>
    </row>
    <row r="7" spans="1:35" ht="24.75" customHeight="1" x14ac:dyDescent="0.25">
      <c r="A7" s="780" t="s">
        <v>24</v>
      </c>
      <c r="B7" s="409" t="s">
        <v>393</v>
      </c>
      <c r="C7" s="149">
        <v>468</v>
      </c>
      <c r="D7" s="149">
        <v>497</v>
      </c>
      <c r="E7" s="149">
        <v>429</v>
      </c>
      <c r="F7" s="149">
        <v>401</v>
      </c>
      <c r="G7" s="149">
        <v>463</v>
      </c>
      <c r="H7" s="149">
        <v>440</v>
      </c>
      <c r="I7" s="149">
        <v>327</v>
      </c>
      <c r="J7" s="149"/>
      <c r="K7" s="149">
        <v>388</v>
      </c>
      <c r="L7" s="149">
        <v>420</v>
      </c>
      <c r="M7" s="149">
        <v>387</v>
      </c>
      <c r="N7" s="149">
        <v>345</v>
      </c>
      <c r="O7" s="149">
        <v>355</v>
      </c>
      <c r="P7" s="150">
        <v>12.92976</v>
      </c>
      <c r="R7" s="149">
        <v>468</v>
      </c>
      <c r="S7" s="149">
        <v>497</v>
      </c>
      <c r="T7" s="149">
        <v>429</v>
      </c>
      <c r="U7" s="149">
        <v>401</v>
      </c>
      <c r="V7" s="149">
        <v>463</v>
      </c>
      <c r="W7" s="149">
        <v>440</v>
      </c>
      <c r="X7" s="149">
        <v>327</v>
      </c>
      <c r="Y7" s="149"/>
      <c r="Z7" s="149">
        <v>388</v>
      </c>
      <c r="AA7" s="149">
        <v>420</v>
      </c>
      <c r="AB7" s="149">
        <v>387</v>
      </c>
      <c r="AC7" s="149">
        <v>345</v>
      </c>
      <c r="AD7" s="149">
        <v>355</v>
      </c>
      <c r="AE7">
        <f t="shared" si="0"/>
        <v>4920</v>
      </c>
      <c r="AF7">
        <f t="shared" si="1"/>
        <v>155157120000</v>
      </c>
      <c r="AG7">
        <f t="shared" si="2"/>
        <v>155.15711999999999</v>
      </c>
      <c r="AH7" s="10">
        <f t="shared" si="3"/>
        <v>12.92976</v>
      </c>
    </row>
    <row r="8" spans="1:35" ht="24.75" customHeight="1" x14ac:dyDescent="0.25">
      <c r="A8" s="781"/>
      <c r="B8" s="304" t="s">
        <v>429</v>
      </c>
      <c r="C8" s="62">
        <v>349</v>
      </c>
      <c r="D8" s="62">
        <v>333</v>
      </c>
      <c r="E8" s="62">
        <v>393</v>
      </c>
      <c r="F8" s="62">
        <v>395</v>
      </c>
      <c r="G8" s="62">
        <v>505</v>
      </c>
      <c r="H8" s="62">
        <v>468</v>
      </c>
      <c r="I8" s="62">
        <v>538</v>
      </c>
      <c r="J8" s="62"/>
      <c r="K8" s="62">
        <v>857</v>
      </c>
      <c r="L8" s="62">
        <v>900</v>
      </c>
      <c r="M8" s="62">
        <v>855</v>
      </c>
      <c r="N8" s="62">
        <v>811</v>
      </c>
      <c r="O8" s="62">
        <v>744</v>
      </c>
      <c r="P8" s="64">
        <v>18.784943999999999</v>
      </c>
      <c r="R8" s="62">
        <v>349</v>
      </c>
      <c r="S8" s="62">
        <v>333</v>
      </c>
      <c r="T8" s="62">
        <v>393</v>
      </c>
      <c r="U8" s="62">
        <v>395</v>
      </c>
      <c r="V8" s="62">
        <v>505</v>
      </c>
      <c r="W8" s="62">
        <v>468</v>
      </c>
      <c r="X8" s="62">
        <v>538</v>
      </c>
      <c r="Y8" s="62"/>
      <c r="Z8" s="62">
        <v>857</v>
      </c>
      <c r="AA8" s="62">
        <v>900</v>
      </c>
      <c r="AB8" s="62">
        <v>855</v>
      </c>
      <c r="AC8" s="62">
        <v>811</v>
      </c>
      <c r="AD8" s="62">
        <v>744</v>
      </c>
      <c r="AE8" s="10">
        <f t="shared" si="0"/>
        <v>7148</v>
      </c>
      <c r="AF8">
        <f t="shared" si="1"/>
        <v>225419328000</v>
      </c>
      <c r="AG8">
        <f t="shared" si="2"/>
        <v>225.41932800000001</v>
      </c>
      <c r="AH8" s="10">
        <f t="shared" si="3"/>
        <v>18.784943999999999</v>
      </c>
      <c r="AI8" s="10"/>
    </row>
    <row r="9" spans="1:35" ht="24.75" customHeight="1" x14ac:dyDescent="0.25">
      <c r="A9" s="782" t="s">
        <v>25</v>
      </c>
      <c r="B9" s="409" t="s">
        <v>393</v>
      </c>
      <c r="C9" s="149">
        <v>46</v>
      </c>
      <c r="D9" s="149">
        <v>50</v>
      </c>
      <c r="E9" s="149">
        <v>40</v>
      </c>
      <c r="F9" s="149">
        <v>42</v>
      </c>
      <c r="G9" s="149">
        <v>43</v>
      </c>
      <c r="H9" s="149">
        <v>45</v>
      </c>
      <c r="I9" s="149">
        <v>39</v>
      </c>
      <c r="J9" s="149"/>
      <c r="K9" s="149">
        <v>40</v>
      </c>
      <c r="L9" s="149">
        <v>42</v>
      </c>
      <c r="M9" s="149">
        <v>44</v>
      </c>
      <c r="N9" s="149">
        <v>40</v>
      </c>
      <c r="O9" s="149">
        <v>40</v>
      </c>
      <c r="P9" s="150">
        <v>1.3429080000000002</v>
      </c>
      <c r="R9" s="149">
        <v>46</v>
      </c>
      <c r="S9" s="149">
        <v>50</v>
      </c>
      <c r="T9" s="149">
        <v>40</v>
      </c>
      <c r="U9" s="149">
        <v>42</v>
      </c>
      <c r="V9" s="149">
        <v>43</v>
      </c>
      <c r="W9" s="149">
        <v>45</v>
      </c>
      <c r="X9" s="149">
        <v>39</v>
      </c>
      <c r="Y9" s="149"/>
      <c r="Z9" s="149">
        <v>40</v>
      </c>
      <c r="AA9" s="149">
        <v>42</v>
      </c>
      <c r="AB9" s="149">
        <v>44</v>
      </c>
      <c r="AC9" s="149">
        <v>40</v>
      </c>
      <c r="AD9" s="149">
        <v>40</v>
      </c>
      <c r="AE9">
        <f t="shared" si="0"/>
        <v>511</v>
      </c>
      <c r="AF9">
        <f t="shared" si="1"/>
        <v>16114896000</v>
      </c>
      <c r="AG9">
        <f t="shared" si="2"/>
        <v>16.114896000000002</v>
      </c>
      <c r="AH9" s="10">
        <f t="shared" si="3"/>
        <v>1.3429080000000002</v>
      </c>
    </row>
    <row r="10" spans="1:35" ht="24.75" customHeight="1" x14ac:dyDescent="0.25">
      <c r="A10" s="779"/>
      <c r="B10" s="304" t="s">
        <v>429</v>
      </c>
      <c r="C10" s="62">
        <v>40</v>
      </c>
      <c r="D10" s="62">
        <v>40</v>
      </c>
      <c r="E10" s="62">
        <v>38</v>
      </c>
      <c r="F10" s="62">
        <v>40</v>
      </c>
      <c r="G10" s="62">
        <v>40</v>
      </c>
      <c r="H10" s="62">
        <v>50</v>
      </c>
      <c r="I10" s="62">
        <v>76</v>
      </c>
      <c r="J10" s="62"/>
      <c r="K10" s="62">
        <v>61</v>
      </c>
      <c r="L10" s="62">
        <v>69</v>
      </c>
      <c r="M10" s="62">
        <v>70</v>
      </c>
      <c r="N10" s="62">
        <v>70</v>
      </c>
      <c r="O10" s="62">
        <v>66</v>
      </c>
      <c r="P10" s="64">
        <v>1.7344799999999998</v>
      </c>
      <c r="R10" s="62">
        <v>40</v>
      </c>
      <c r="S10" s="62">
        <v>40</v>
      </c>
      <c r="T10" s="62">
        <v>38</v>
      </c>
      <c r="U10" s="62">
        <v>40</v>
      </c>
      <c r="V10" s="62">
        <v>40</v>
      </c>
      <c r="W10" s="62">
        <v>50</v>
      </c>
      <c r="X10" s="62">
        <v>76</v>
      </c>
      <c r="Y10" s="62"/>
      <c r="Z10" s="62">
        <v>61</v>
      </c>
      <c r="AA10" s="62">
        <v>69</v>
      </c>
      <c r="AB10" s="62">
        <v>70</v>
      </c>
      <c r="AC10" s="62">
        <v>70</v>
      </c>
      <c r="AD10" s="62">
        <v>66</v>
      </c>
      <c r="AE10" s="10">
        <f t="shared" si="0"/>
        <v>660</v>
      </c>
      <c r="AF10">
        <f t="shared" si="1"/>
        <v>20813760000</v>
      </c>
      <c r="AG10">
        <f t="shared" si="2"/>
        <v>20.813759999999998</v>
      </c>
      <c r="AH10" s="10">
        <f t="shared" si="3"/>
        <v>1.7344799999999998</v>
      </c>
    </row>
    <row r="11" spans="1:35" ht="24.75" customHeight="1" x14ac:dyDescent="0.25">
      <c r="A11" s="780" t="s">
        <v>221</v>
      </c>
      <c r="B11" s="409" t="s">
        <v>393</v>
      </c>
      <c r="C11" s="149">
        <v>15</v>
      </c>
      <c r="D11" s="149">
        <v>15</v>
      </c>
      <c r="E11" s="149">
        <v>15</v>
      </c>
      <c r="F11" s="149">
        <v>7</v>
      </c>
      <c r="G11" s="149">
        <v>17</v>
      </c>
      <c r="H11" s="149">
        <v>16</v>
      </c>
      <c r="I11" s="149">
        <v>9</v>
      </c>
      <c r="J11" s="149"/>
      <c r="K11" s="149">
        <v>10</v>
      </c>
      <c r="L11" s="149">
        <v>10</v>
      </c>
      <c r="M11" s="149">
        <v>22</v>
      </c>
      <c r="N11" s="149">
        <v>30</v>
      </c>
      <c r="O11" s="149">
        <v>15</v>
      </c>
      <c r="P11" s="150">
        <v>0.47566799999999998</v>
      </c>
      <c r="R11" s="149">
        <v>15</v>
      </c>
      <c r="S11" s="149">
        <v>15</v>
      </c>
      <c r="T11" s="149">
        <v>15</v>
      </c>
      <c r="U11" s="149">
        <v>7</v>
      </c>
      <c r="V11" s="149">
        <v>17</v>
      </c>
      <c r="W11" s="149">
        <v>16</v>
      </c>
      <c r="X11" s="149">
        <v>9</v>
      </c>
      <c r="Y11" s="149"/>
      <c r="Z11" s="149">
        <v>10</v>
      </c>
      <c r="AA11" s="149">
        <v>10</v>
      </c>
      <c r="AB11" s="149">
        <v>22</v>
      </c>
      <c r="AC11" s="149">
        <v>30</v>
      </c>
      <c r="AD11" s="149">
        <v>15</v>
      </c>
      <c r="AE11">
        <f t="shared" si="0"/>
        <v>181</v>
      </c>
      <c r="AF11">
        <f t="shared" si="1"/>
        <v>5708016000</v>
      </c>
      <c r="AG11">
        <f t="shared" si="2"/>
        <v>5.7080159999999998</v>
      </c>
      <c r="AH11" s="10">
        <f t="shared" si="3"/>
        <v>0.47566799999999998</v>
      </c>
    </row>
    <row r="12" spans="1:35" ht="24.75" customHeight="1" x14ac:dyDescent="0.25">
      <c r="A12" s="781"/>
      <c r="B12" s="304" t="s">
        <v>429</v>
      </c>
      <c r="C12" s="62">
        <v>7</v>
      </c>
      <c r="D12" s="62">
        <v>2</v>
      </c>
      <c r="E12" s="62">
        <v>5</v>
      </c>
      <c r="F12" s="62">
        <v>10</v>
      </c>
      <c r="G12" s="62">
        <v>12</v>
      </c>
      <c r="H12" s="62">
        <v>5</v>
      </c>
      <c r="I12" s="62">
        <v>5</v>
      </c>
      <c r="J12" s="62"/>
      <c r="K12" s="62">
        <v>10</v>
      </c>
      <c r="L12" s="62">
        <v>21</v>
      </c>
      <c r="M12" s="62">
        <v>20</v>
      </c>
      <c r="N12" s="62">
        <v>15</v>
      </c>
      <c r="O12" s="62">
        <v>10</v>
      </c>
      <c r="P12" s="64">
        <v>0.32061600000000001</v>
      </c>
      <c r="R12" s="62">
        <v>7</v>
      </c>
      <c r="S12" s="62">
        <v>2</v>
      </c>
      <c r="T12" s="62">
        <v>5</v>
      </c>
      <c r="U12" s="62">
        <v>10</v>
      </c>
      <c r="V12" s="62">
        <v>12</v>
      </c>
      <c r="W12" s="62">
        <v>5</v>
      </c>
      <c r="X12" s="62">
        <v>5</v>
      </c>
      <c r="Y12" s="62"/>
      <c r="Z12" s="62">
        <v>10</v>
      </c>
      <c r="AA12" s="62">
        <v>21</v>
      </c>
      <c r="AB12" s="62">
        <v>20</v>
      </c>
      <c r="AC12" s="62">
        <v>15</v>
      </c>
      <c r="AD12" s="62">
        <v>10</v>
      </c>
      <c r="AE12" s="10">
        <f t="shared" si="0"/>
        <v>122</v>
      </c>
      <c r="AF12">
        <f t="shared" si="1"/>
        <v>3847392000</v>
      </c>
      <c r="AG12">
        <f t="shared" si="2"/>
        <v>3.8473920000000001</v>
      </c>
      <c r="AH12" s="10">
        <f t="shared" si="3"/>
        <v>0.32061600000000001</v>
      </c>
    </row>
    <row r="13" spans="1:35" ht="24.75" customHeight="1" x14ac:dyDescent="0.25">
      <c r="A13" s="783" t="s">
        <v>250</v>
      </c>
      <c r="B13" s="409" t="s">
        <v>393</v>
      </c>
      <c r="C13" s="149">
        <v>77</v>
      </c>
      <c r="D13" s="149">
        <v>81</v>
      </c>
      <c r="E13" s="149">
        <v>55</v>
      </c>
      <c r="F13" s="149">
        <v>34</v>
      </c>
      <c r="G13" s="149">
        <v>70</v>
      </c>
      <c r="H13" s="149">
        <v>62</v>
      </c>
      <c r="I13" s="149">
        <v>35</v>
      </c>
      <c r="J13" s="149"/>
      <c r="K13" s="149">
        <v>70</v>
      </c>
      <c r="L13" s="149">
        <v>82</v>
      </c>
      <c r="M13" s="149">
        <v>104</v>
      </c>
      <c r="N13" s="149">
        <v>69</v>
      </c>
      <c r="O13" s="149">
        <v>57</v>
      </c>
      <c r="P13" s="150">
        <v>2.091888</v>
      </c>
      <c r="R13" s="149">
        <v>77</v>
      </c>
      <c r="S13" s="149">
        <v>81</v>
      </c>
      <c r="T13" s="149">
        <v>55</v>
      </c>
      <c r="U13" s="149">
        <v>34</v>
      </c>
      <c r="V13" s="149">
        <v>70</v>
      </c>
      <c r="W13" s="149">
        <v>62</v>
      </c>
      <c r="X13" s="149">
        <v>35</v>
      </c>
      <c r="Y13" s="149"/>
      <c r="Z13" s="149">
        <v>70</v>
      </c>
      <c r="AA13" s="149">
        <v>82</v>
      </c>
      <c r="AB13" s="149">
        <v>104</v>
      </c>
      <c r="AC13" s="149">
        <v>69</v>
      </c>
      <c r="AD13" s="149">
        <v>57</v>
      </c>
      <c r="AE13">
        <f t="shared" si="0"/>
        <v>796</v>
      </c>
      <c r="AF13">
        <f t="shared" si="1"/>
        <v>25102656000</v>
      </c>
      <c r="AG13">
        <f t="shared" si="2"/>
        <v>25.102656</v>
      </c>
      <c r="AH13" s="10">
        <f t="shared" si="3"/>
        <v>2.091888</v>
      </c>
    </row>
    <row r="14" spans="1:35" ht="24.75" customHeight="1" thickBot="1" x14ac:dyDescent="0.3">
      <c r="A14" s="785"/>
      <c r="B14" s="305" t="s">
        <v>429</v>
      </c>
      <c r="C14" s="63">
        <v>47</v>
      </c>
      <c r="D14" s="63">
        <v>27</v>
      </c>
      <c r="E14" s="63">
        <v>74</v>
      </c>
      <c r="F14" s="63">
        <v>107</v>
      </c>
      <c r="G14" s="63">
        <v>118</v>
      </c>
      <c r="H14" s="63">
        <v>132</v>
      </c>
      <c r="I14" s="63">
        <v>39</v>
      </c>
      <c r="J14" s="63"/>
      <c r="K14" s="63">
        <v>135</v>
      </c>
      <c r="L14" s="63">
        <v>166</v>
      </c>
      <c r="M14" s="63">
        <v>175</v>
      </c>
      <c r="N14" s="63">
        <v>175</v>
      </c>
      <c r="O14" s="63">
        <v>224</v>
      </c>
      <c r="P14" s="151">
        <v>3.7291319999999999</v>
      </c>
      <c r="R14" s="63">
        <v>47</v>
      </c>
      <c r="S14" s="63">
        <v>27</v>
      </c>
      <c r="T14" s="63">
        <v>74</v>
      </c>
      <c r="U14" s="63">
        <v>107</v>
      </c>
      <c r="V14" s="63">
        <v>118</v>
      </c>
      <c r="W14" s="63">
        <v>132</v>
      </c>
      <c r="X14" s="63">
        <v>39</v>
      </c>
      <c r="Y14" s="63"/>
      <c r="Z14" s="63">
        <v>135</v>
      </c>
      <c r="AA14" s="63">
        <v>166</v>
      </c>
      <c r="AB14" s="63">
        <v>175</v>
      </c>
      <c r="AC14" s="63">
        <v>175</v>
      </c>
      <c r="AD14" s="63">
        <v>224</v>
      </c>
      <c r="AE14" s="10">
        <f t="shared" si="0"/>
        <v>1419</v>
      </c>
      <c r="AF14">
        <f t="shared" si="1"/>
        <v>44749584000</v>
      </c>
      <c r="AG14">
        <f t="shared" si="2"/>
        <v>44.749583999999999</v>
      </c>
      <c r="AH14" s="10">
        <f t="shared" si="3"/>
        <v>3.7291319999999999</v>
      </c>
    </row>
    <row r="15" spans="1:35" ht="24.75" customHeight="1" thickTop="1" x14ac:dyDescent="0.25">
      <c r="A15" s="30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5" ht="24.75" customHeight="1" x14ac:dyDescent="0.25">
      <c r="A16" s="756" t="s">
        <v>4</v>
      </c>
      <c r="B16" s="756"/>
      <c r="C16" s="756"/>
      <c r="D16" s="756"/>
      <c r="E16" s="756"/>
      <c r="F16" s="756"/>
      <c r="G16" s="756"/>
      <c r="H16" s="756"/>
      <c r="I16" s="756"/>
      <c r="J16" s="756"/>
      <c r="K16" s="756"/>
      <c r="L16" s="11"/>
      <c r="M16" s="11"/>
      <c r="N16" s="11"/>
      <c r="O16" s="11"/>
      <c r="P16" s="13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</row>
    <row r="17" spans="1:34" ht="24.75" customHeight="1" x14ac:dyDescent="0.25">
      <c r="A17" s="787"/>
      <c r="B17" s="787"/>
      <c r="C17" s="787"/>
      <c r="D17" s="787"/>
      <c r="E17" s="787"/>
      <c r="F17" s="787"/>
      <c r="G17" s="787"/>
      <c r="H17" s="787"/>
      <c r="I17" s="787"/>
      <c r="J17" s="200"/>
      <c r="K17" s="11"/>
      <c r="L17" s="11"/>
      <c r="M17" s="11"/>
      <c r="N17" s="11"/>
      <c r="O17" s="11"/>
      <c r="P17" s="13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>AE17/1000000000</f>
        <v>0</v>
      </c>
      <c r="AH17">
        <f>AG17/12</f>
        <v>0</v>
      </c>
    </row>
    <row r="18" spans="1:34" ht="24.75" customHeight="1" x14ac:dyDescent="0.25">
      <c r="A18" s="558"/>
      <c r="B18" s="558"/>
      <c r="C18" s="558"/>
      <c r="D18" s="558"/>
      <c r="E18" s="558"/>
      <c r="F18" s="558"/>
      <c r="G18" s="558"/>
      <c r="H18" s="558"/>
      <c r="I18" s="558"/>
      <c r="J18" s="558"/>
      <c r="K18" s="11"/>
      <c r="L18" s="11"/>
      <c r="M18" s="11"/>
      <c r="N18" s="11"/>
      <c r="O18" s="11"/>
      <c r="P18" s="13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4" ht="24.7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</row>
    <row r="20" spans="1:34" ht="24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4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>
        <f>AE20/1000000000</f>
        <v>0</v>
      </c>
      <c r="AH20">
        <f>AG20/12</f>
        <v>0</v>
      </c>
    </row>
    <row r="21" spans="1:34" ht="24.75" customHeight="1" x14ac:dyDescent="0.25">
      <c r="A21" s="767" t="s">
        <v>230</v>
      </c>
      <c r="B21" s="767"/>
      <c r="C21" s="767"/>
      <c r="D21" s="767"/>
      <c r="E21" s="114"/>
      <c r="F21" s="114"/>
      <c r="G21" s="786"/>
      <c r="H21" s="786"/>
      <c r="I21" s="786"/>
      <c r="J21" s="199"/>
      <c r="K21" s="114"/>
      <c r="L21" s="114"/>
      <c r="M21" s="114"/>
      <c r="N21" s="114"/>
      <c r="O21" s="114"/>
      <c r="P21" s="43">
        <v>18</v>
      </c>
      <c r="Q21" s="15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339"/>
      <c r="AE21" s="7"/>
      <c r="AF21" s="496"/>
      <c r="AH21" s="9"/>
    </row>
    <row r="22" spans="1:34" x14ac:dyDescent="0.25"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>AE22/1000000000</f>
        <v>0</v>
      </c>
      <c r="AH22">
        <f>AG22/12</f>
        <v>0</v>
      </c>
    </row>
    <row r="23" spans="1:34" ht="15.75" thickBot="1" x14ac:dyDescent="0.3"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</row>
    <row r="24" spans="1:34" ht="15.75" thickTop="1" x14ac:dyDescent="0.25">
      <c r="G24" s="10">
        <f>P6+P7+P9+P11+P13</f>
        <v>43.330463999999999</v>
      </c>
      <c r="K24" s="10">
        <f>P6+P8+P10+P12+P14</f>
        <v>51.059411999999995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>AE24/1000000000</f>
        <v>0</v>
      </c>
      <c r="AH24">
        <f>AG24/12</f>
        <v>0</v>
      </c>
    </row>
    <row r="26" spans="1:34" x14ac:dyDescent="0.25">
      <c r="B26" s="10"/>
    </row>
    <row r="31" spans="1:34" x14ac:dyDescent="0.25">
      <c r="A31" s="778" t="s">
        <v>23</v>
      </c>
      <c r="B31" s="177" t="s">
        <v>232</v>
      </c>
      <c r="C31" s="149">
        <v>634</v>
      </c>
      <c r="D31" s="149">
        <v>597</v>
      </c>
      <c r="E31" s="149">
        <v>558</v>
      </c>
      <c r="F31" s="149">
        <v>637</v>
      </c>
      <c r="G31" s="149">
        <v>772</v>
      </c>
      <c r="H31" s="149">
        <v>668</v>
      </c>
      <c r="I31" s="149">
        <v>652</v>
      </c>
      <c r="J31" s="149"/>
      <c r="K31" s="149">
        <v>682</v>
      </c>
      <c r="L31" s="149">
        <v>746</v>
      </c>
      <c r="M31" s="149">
        <v>723</v>
      </c>
      <c r="N31" s="149">
        <v>618</v>
      </c>
      <c r="O31" s="149">
        <v>694</v>
      </c>
      <c r="P31" s="150"/>
    </row>
    <row r="32" spans="1:34" x14ac:dyDescent="0.25">
      <c r="A32" s="778"/>
      <c r="B32" s="48"/>
      <c r="C32" s="120">
        <f>C31*60*60*24*365</f>
        <v>19993824000</v>
      </c>
      <c r="D32" s="120">
        <f t="shared" ref="D32:O32" si="4">D31*60*60*24*365</f>
        <v>18826992000</v>
      </c>
      <c r="E32" s="120">
        <f t="shared" si="4"/>
        <v>17597088000</v>
      </c>
      <c r="F32" s="120">
        <f t="shared" si="4"/>
        <v>20088432000</v>
      </c>
      <c r="G32" s="120">
        <f t="shared" si="4"/>
        <v>24345792000</v>
      </c>
      <c r="H32" s="120">
        <f t="shared" si="4"/>
        <v>21066048000</v>
      </c>
      <c r="I32" s="120">
        <f t="shared" si="4"/>
        <v>20561472000</v>
      </c>
      <c r="J32" s="120">
        <f t="shared" si="4"/>
        <v>0</v>
      </c>
      <c r="K32" s="120">
        <f t="shared" si="4"/>
        <v>21507552000</v>
      </c>
      <c r="L32" s="120">
        <f t="shared" si="4"/>
        <v>23525856000</v>
      </c>
      <c r="M32" s="120">
        <f t="shared" si="4"/>
        <v>22800528000</v>
      </c>
      <c r="N32" s="120">
        <f t="shared" si="4"/>
        <v>19489248000</v>
      </c>
      <c r="O32" s="120">
        <f t="shared" si="4"/>
        <v>21885984000</v>
      </c>
      <c r="P32" s="147">
        <f>SUM(C32:O32)</f>
        <v>251688816000</v>
      </c>
      <c r="Q32" s="148">
        <f>P32/1000000000</f>
        <v>251.688816</v>
      </c>
      <c r="R32" s="10">
        <f>Q32/12</f>
        <v>20.974067999999999</v>
      </c>
    </row>
    <row r="33" spans="1:18" x14ac:dyDescent="0.25">
      <c r="A33" s="779"/>
      <c r="B33" s="16" t="s">
        <v>237</v>
      </c>
      <c r="C33" s="62">
        <v>721</v>
      </c>
      <c r="D33" s="62">
        <v>631</v>
      </c>
      <c r="E33" s="62">
        <v>621</v>
      </c>
      <c r="F33" s="62">
        <v>667</v>
      </c>
      <c r="G33" s="62">
        <v>707</v>
      </c>
      <c r="H33" s="62">
        <v>660</v>
      </c>
      <c r="I33" s="62">
        <v>671</v>
      </c>
      <c r="J33" s="62"/>
      <c r="K33" s="62">
        <v>682</v>
      </c>
      <c r="L33" s="62">
        <v>643</v>
      </c>
      <c r="M33" s="62">
        <v>730</v>
      </c>
      <c r="N33" s="62">
        <v>621</v>
      </c>
      <c r="O33" s="62">
        <v>693</v>
      </c>
      <c r="P33" s="64"/>
      <c r="R33" s="10"/>
    </row>
    <row r="34" spans="1:18" x14ac:dyDescent="0.25">
      <c r="A34" s="201"/>
      <c r="B34" s="48"/>
      <c r="C34" s="120">
        <f t="shared" ref="C34:O36" si="5">C33*60*60*24*365</f>
        <v>22737456000</v>
      </c>
      <c r="D34" s="120">
        <f t="shared" si="5"/>
        <v>19899216000</v>
      </c>
      <c r="E34" s="120">
        <f t="shared" si="5"/>
        <v>19583856000</v>
      </c>
      <c r="F34" s="120">
        <f t="shared" si="5"/>
        <v>21034512000</v>
      </c>
      <c r="G34" s="120">
        <f t="shared" si="5"/>
        <v>22295952000</v>
      </c>
      <c r="H34" s="120">
        <f t="shared" si="5"/>
        <v>20813760000</v>
      </c>
      <c r="I34" s="120">
        <f t="shared" si="5"/>
        <v>21160656000</v>
      </c>
      <c r="J34" s="120">
        <f t="shared" si="5"/>
        <v>0</v>
      </c>
      <c r="K34" s="120">
        <f t="shared" si="5"/>
        <v>21507552000</v>
      </c>
      <c r="L34" s="120">
        <f t="shared" si="5"/>
        <v>20277648000</v>
      </c>
      <c r="M34" s="120">
        <f t="shared" si="5"/>
        <v>23021280000</v>
      </c>
      <c r="N34" s="120">
        <f t="shared" si="5"/>
        <v>19583856000</v>
      </c>
      <c r="O34" s="120">
        <f t="shared" si="5"/>
        <v>21854448000</v>
      </c>
      <c r="P34" s="147">
        <f>SUM(C34:O34)</f>
        <v>253770192000</v>
      </c>
      <c r="Q34" s="148">
        <f>P34/1000000000</f>
        <v>253.77019200000001</v>
      </c>
      <c r="R34" s="206">
        <f>Q34/12</f>
        <v>21.147516</v>
      </c>
    </row>
    <row r="35" spans="1:18" x14ac:dyDescent="0.25">
      <c r="A35" s="780" t="s">
        <v>24</v>
      </c>
      <c r="B35" s="177" t="s">
        <v>232</v>
      </c>
      <c r="C35" s="149">
        <v>366</v>
      </c>
      <c r="D35" s="149">
        <v>360</v>
      </c>
      <c r="E35" s="149">
        <v>338</v>
      </c>
      <c r="F35" s="149">
        <v>357</v>
      </c>
      <c r="G35" s="149">
        <v>515</v>
      </c>
      <c r="H35" s="149">
        <v>460</v>
      </c>
      <c r="I35" s="149">
        <v>622</v>
      </c>
      <c r="J35" s="149"/>
      <c r="K35" s="149">
        <v>789</v>
      </c>
      <c r="L35" s="149">
        <v>761</v>
      </c>
      <c r="M35" s="149">
        <v>694</v>
      </c>
      <c r="N35" s="149">
        <v>630</v>
      </c>
      <c r="O35" s="148">
        <v>673</v>
      </c>
      <c r="P35" s="150"/>
      <c r="R35" s="10"/>
    </row>
    <row r="36" spans="1:18" x14ac:dyDescent="0.25">
      <c r="A36" s="778"/>
      <c r="B36" s="48"/>
      <c r="C36" s="120">
        <f t="shared" si="5"/>
        <v>11542176000</v>
      </c>
      <c r="D36" s="120">
        <f t="shared" ref="D36" si="6">D35*60*60*24*365</f>
        <v>11352960000</v>
      </c>
      <c r="E36" s="120">
        <f t="shared" ref="E36" si="7">E35*60*60*24*365</f>
        <v>10659168000</v>
      </c>
      <c r="F36" s="120">
        <f t="shared" ref="F36" si="8">F35*60*60*24*365</f>
        <v>11258352000</v>
      </c>
      <c r="G36" s="120">
        <f t="shared" ref="G36" si="9">G35*60*60*24*365</f>
        <v>16241040000</v>
      </c>
      <c r="H36" s="120">
        <f t="shared" ref="H36" si="10">H35*60*60*24*365</f>
        <v>14506560000</v>
      </c>
      <c r="I36" s="120">
        <f t="shared" ref="I36" si="11">I35*60*60*24*365</f>
        <v>19615392000</v>
      </c>
      <c r="J36" s="120">
        <f t="shared" ref="J36" si="12">J35*60*60*24*365</f>
        <v>0</v>
      </c>
      <c r="K36" s="120">
        <f t="shared" ref="K36" si="13">K35*60*60*24*365</f>
        <v>24881904000</v>
      </c>
      <c r="L36" s="120">
        <f t="shared" ref="L36" si="14">L35*60*60*24*365</f>
        <v>23998896000</v>
      </c>
      <c r="M36" s="120">
        <f t="shared" ref="M36" si="15">M35*60*60*24*365</f>
        <v>21885984000</v>
      </c>
      <c r="N36" s="120">
        <f t="shared" ref="N36" si="16">N35*60*60*24*365</f>
        <v>19867680000</v>
      </c>
      <c r="O36" s="120">
        <f t="shared" ref="O36" si="17">O35*60*60*24*365</f>
        <v>21223728000</v>
      </c>
      <c r="P36" s="147">
        <f>SUM(C36:O36)</f>
        <v>207033840000</v>
      </c>
      <c r="Q36" s="148">
        <f>P36/1000000000</f>
        <v>207.03384</v>
      </c>
      <c r="R36" s="10">
        <f>Q36/12</f>
        <v>17.25282</v>
      </c>
    </row>
    <row r="37" spans="1:18" x14ac:dyDescent="0.25">
      <c r="A37" s="781"/>
      <c r="B37" s="16" t="s">
        <v>237</v>
      </c>
      <c r="C37" s="62">
        <v>486</v>
      </c>
      <c r="D37" s="62">
        <v>403</v>
      </c>
      <c r="E37" s="62">
        <v>407</v>
      </c>
      <c r="F37" s="62">
        <v>387</v>
      </c>
      <c r="G37" s="62">
        <v>365</v>
      </c>
      <c r="H37" s="62">
        <v>289</v>
      </c>
      <c r="I37" s="62">
        <v>310</v>
      </c>
      <c r="J37" s="62"/>
      <c r="K37" s="62">
        <v>397</v>
      </c>
      <c r="L37" s="62">
        <v>388</v>
      </c>
      <c r="M37" s="62">
        <v>389</v>
      </c>
      <c r="N37" s="62">
        <v>326</v>
      </c>
      <c r="O37" s="62">
        <v>570</v>
      </c>
      <c r="P37" s="64"/>
      <c r="R37" s="10"/>
    </row>
    <row r="38" spans="1:18" x14ac:dyDescent="0.25">
      <c r="A38" s="201"/>
      <c r="B38" s="48"/>
      <c r="C38" s="120">
        <f t="shared" ref="C38" si="18">C37*60*60*24*365</f>
        <v>15326496000</v>
      </c>
      <c r="D38" s="120">
        <f t="shared" ref="D38" si="19">D37*60*60*24*365</f>
        <v>12709008000</v>
      </c>
      <c r="E38" s="120">
        <f t="shared" ref="E38" si="20">E37*60*60*24*365</f>
        <v>12835152000</v>
      </c>
      <c r="F38" s="120">
        <f t="shared" ref="F38" si="21">F37*60*60*24*365</f>
        <v>12204432000</v>
      </c>
      <c r="G38" s="120">
        <f t="shared" ref="G38" si="22">G37*60*60*24*365</f>
        <v>11510640000</v>
      </c>
      <c r="H38" s="120">
        <f t="shared" ref="H38" si="23">H37*60*60*24*365</f>
        <v>9113904000</v>
      </c>
      <c r="I38" s="120">
        <f t="shared" ref="I38" si="24">I37*60*60*24*365</f>
        <v>9776160000</v>
      </c>
      <c r="J38" s="120">
        <f t="shared" ref="J38" si="25">J37*60*60*24*365</f>
        <v>0</v>
      </c>
      <c r="K38" s="120">
        <f t="shared" ref="K38" si="26">K37*60*60*24*365</f>
        <v>12519792000</v>
      </c>
      <c r="L38" s="120">
        <f t="shared" ref="L38" si="27">L37*60*60*24*365</f>
        <v>12235968000</v>
      </c>
      <c r="M38" s="120">
        <f t="shared" ref="M38" si="28">M37*60*60*24*365</f>
        <v>12267504000</v>
      </c>
      <c r="N38" s="120">
        <f t="shared" ref="N38" si="29">N37*60*60*24*365</f>
        <v>10280736000</v>
      </c>
      <c r="O38" s="120">
        <f t="shared" ref="O38" si="30">O37*60*60*24*365</f>
        <v>17975520000</v>
      </c>
      <c r="P38" s="147">
        <f>SUM(C38:O38)</f>
        <v>148755312000</v>
      </c>
      <c r="Q38" s="148">
        <f>P38/1000000000</f>
        <v>148.755312</v>
      </c>
      <c r="R38" s="10">
        <f>Q38/12</f>
        <v>12.396276</v>
      </c>
    </row>
    <row r="39" spans="1:18" x14ac:dyDescent="0.25">
      <c r="A39" s="782" t="s">
        <v>25</v>
      </c>
      <c r="B39" s="177" t="s">
        <v>232</v>
      </c>
      <c r="C39" s="149">
        <v>65</v>
      </c>
      <c r="D39" s="149">
        <v>62</v>
      </c>
      <c r="E39" s="149">
        <v>50</v>
      </c>
      <c r="F39" s="149">
        <v>40</v>
      </c>
      <c r="G39" s="149">
        <v>40</v>
      </c>
      <c r="H39" s="149">
        <v>52</v>
      </c>
      <c r="I39" s="149">
        <v>36</v>
      </c>
      <c r="J39" s="149"/>
      <c r="K39" s="149">
        <v>60</v>
      </c>
      <c r="L39" s="149">
        <v>70</v>
      </c>
      <c r="M39" s="149">
        <v>70</v>
      </c>
      <c r="N39" s="149">
        <v>52</v>
      </c>
      <c r="O39" s="149">
        <v>54</v>
      </c>
      <c r="P39" s="150"/>
      <c r="R39" s="10"/>
    </row>
    <row r="40" spans="1:18" x14ac:dyDescent="0.25">
      <c r="A40" s="778"/>
      <c r="B40" s="48"/>
      <c r="C40" s="120">
        <f t="shared" ref="C40" si="31">C39*60*60*24*365</f>
        <v>2049840000</v>
      </c>
      <c r="D40" s="120">
        <f t="shared" ref="D40" si="32">D39*60*60*24*365</f>
        <v>1955232000</v>
      </c>
      <c r="E40" s="120">
        <f t="shared" ref="E40" si="33">E39*60*60*24*365</f>
        <v>1576800000</v>
      </c>
      <c r="F40" s="120">
        <f t="shared" ref="F40" si="34">F39*60*60*24*365</f>
        <v>1261440000</v>
      </c>
      <c r="G40" s="120">
        <f t="shared" ref="G40" si="35">G39*60*60*24*365</f>
        <v>1261440000</v>
      </c>
      <c r="H40" s="120">
        <f t="shared" ref="H40" si="36">H39*60*60*24*365</f>
        <v>1639872000</v>
      </c>
      <c r="I40" s="120">
        <f t="shared" ref="I40" si="37">I39*60*60*24*365</f>
        <v>1135296000</v>
      </c>
      <c r="J40" s="120">
        <f t="shared" ref="J40" si="38">J39*60*60*24*365</f>
        <v>0</v>
      </c>
      <c r="K40" s="120">
        <f t="shared" ref="K40" si="39">K39*60*60*24*365</f>
        <v>1892160000</v>
      </c>
      <c r="L40" s="120">
        <f t="shared" ref="L40" si="40">L39*60*60*24*365</f>
        <v>2207520000</v>
      </c>
      <c r="M40" s="120">
        <f t="shared" ref="M40" si="41">M39*60*60*24*365</f>
        <v>2207520000</v>
      </c>
      <c r="N40" s="120">
        <f t="shared" ref="N40" si="42">N39*60*60*24*365</f>
        <v>1639872000</v>
      </c>
      <c r="O40" s="120">
        <f t="shared" ref="O40" si="43">O39*60*60*24*365</f>
        <v>1702944000</v>
      </c>
      <c r="P40" s="147">
        <f>SUM(C40:O40)</f>
        <v>20529936000</v>
      </c>
      <c r="Q40" s="148">
        <f>P40/1000000000</f>
        <v>20.529935999999999</v>
      </c>
      <c r="R40" s="10">
        <f>Q40/12</f>
        <v>1.710828</v>
      </c>
    </row>
    <row r="41" spans="1:18" x14ac:dyDescent="0.25">
      <c r="A41" s="779"/>
      <c r="B41" s="16" t="s">
        <v>237</v>
      </c>
      <c r="C41" s="62">
        <v>49</v>
      </c>
      <c r="D41" s="62">
        <v>59</v>
      </c>
      <c r="E41" s="62">
        <v>66</v>
      </c>
      <c r="F41" s="62">
        <v>63</v>
      </c>
      <c r="G41" s="62">
        <v>50</v>
      </c>
      <c r="H41" s="62">
        <v>39</v>
      </c>
      <c r="I41" s="62">
        <v>40</v>
      </c>
      <c r="J41" s="62"/>
      <c r="K41" s="62">
        <v>40</v>
      </c>
      <c r="L41" s="62">
        <v>37</v>
      </c>
      <c r="M41" s="62">
        <v>35</v>
      </c>
      <c r="N41" s="62">
        <v>35</v>
      </c>
      <c r="O41" s="62">
        <v>54</v>
      </c>
      <c r="P41" s="64"/>
      <c r="R41" s="10"/>
    </row>
    <row r="42" spans="1:18" x14ac:dyDescent="0.25">
      <c r="A42" s="201"/>
      <c r="B42" s="48"/>
      <c r="C42" s="120">
        <f t="shared" ref="C42" si="44">C41*60*60*24*365</f>
        <v>1545264000</v>
      </c>
      <c r="D42" s="120">
        <f t="shared" ref="D42" si="45">D41*60*60*24*365</f>
        <v>1860624000</v>
      </c>
      <c r="E42" s="120">
        <f t="shared" ref="E42" si="46">E41*60*60*24*365</f>
        <v>2081376000</v>
      </c>
      <c r="F42" s="120">
        <f t="shared" ref="F42" si="47">F41*60*60*24*365</f>
        <v>1986768000</v>
      </c>
      <c r="G42" s="120">
        <f t="shared" ref="G42" si="48">G41*60*60*24*365</f>
        <v>1576800000</v>
      </c>
      <c r="H42" s="120">
        <f t="shared" ref="H42" si="49">H41*60*60*24*365</f>
        <v>1229904000</v>
      </c>
      <c r="I42" s="120">
        <f t="shared" ref="I42" si="50">I41*60*60*24*365</f>
        <v>1261440000</v>
      </c>
      <c r="J42" s="120">
        <f t="shared" ref="J42" si="51">J41*60*60*24*365</f>
        <v>0</v>
      </c>
      <c r="K42" s="120">
        <f t="shared" ref="K42" si="52">K41*60*60*24*365</f>
        <v>1261440000</v>
      </c>
      <c r="L42" s="120">
        <f t="shared" ref="L42" si="53">L41*60*60*24*365</f>
        <v>1166832000</v>
      </c>
      <c r="M42" s="120">
        <f t="shared" ref="M42" si="54">M41*60*60*24*365</f>
        <v>1103760000</v>
      </c>
      <c r="N42" s="120">
        <f t="shared" ref="N42" si="55">N41*60*60*24*365</f>
        <v>1103760000</v>
      </c>
      <c r="O42" s="120">
        <f t="shared" ref="O42" si="56">O41*60*60*24*365</f>
        <v>1702944000</v>
      </c>
      <c r="P42" s="147">
        <f>SUM(C42:O42)</f>
        <v>17880912000</v>
      </c>
      <c r="Q42" s="148">
        <f>P42/1000000000</f>
        <v>17.880911999999999</v>
      </c>
      <c r="R42" s="10">
        <f>Q42/12</f>
        <v>1.490076</v>
      </c>
    </row>
    <row r="43" spans="1:18" x14ac:dyDescent="0.25">
      <c r="A43" s="780" t="s">
        <v>221</v>
      </c>
      <c r="B43" s="177" t="s">
        <v>232</v>
      </c>
      <c r="C43" s="149">
        <v>15</v>
      </c>
      <c r="D43" s="149">
        <v>15</v>
      </c>
      <c r="E43" s="149">
        <v>25</v>
      </c>
      <c r="F43" s="149">
        <v>57</v>
      </c>
      <c r="G43" s="149">
        <v>41</v>
      </c>
      <c r="H43" s="149">
        <v>26</v>
      </c>
      <c r="I43" s="149">
        <v>20</v>
      </c>
      <c r="J43" s="149"/>
      <c r="K43" s="149">
        <v>20</v>
      </c>
      <c r="L43" s="149">
        <v>20</v>
      </c>
      <c r="M43" s="149">
        <v>20</v>
      </c>
      <c r="N43" s="149">
        <v>15</v>
      </c>
      <c r="O43" s="149">
        <v>20</v>
      </c>
      <c r="P43" s="150"/>
      <c r="R43" s="10"/>
    </row>
    <row r="44" spans="1:18" x14ac:dyDescent="0.25">
      <c r="A44" s="778"/>
      <c r="B44" s="48"/>
      <c r="C44" s="120">
        <f t="shared" ref="C44" si="57">C43*60*60*24*365</f>
        <v>473040000</v>
      </c>
      <c r="D44" s="120">
        <f t="shared" ref="D44" si="58">D43*60*60*24*365</f>
        <v>473040000</v>
      </c>
      <c r="E44" s="120">
        <f t="shared" ref="E44" si="59">E43*60*60*24*365</f>
        <v>788400000</v>
      </c>
      <c r="F44" s="120">
        <f t="shared" ref="F44" si="60">F43*60*60*24*365</f>
        <v>1797552000</v>
      </c>
      <c r="G44" s="120">
        <f t="shared" ref="G44" si="61">G43*60*60*24*365</f>
        <v>1292976000</v>
      </c>
      <c r="H44" s="120">
        <f t="shared" ref="H44" si="62">H43*60*60*24*365</f>
        <v>819936000</v>
      </c>
      <c r="I44" s="120">
        <f t="shared" ref="I44" si="63">I43*60*60*24*365</f>
        <v>630720000</v>
      </c>
      <c r="J44" s="120">
        <f t="shared" ref="J44" si="64">J43*60*60*24*365</f>
        <v>0</v>
      </c>
      <c r="K44" s="120">
        <f t="shared" ref="K44" si="65">K43*60*60*24*365</f>
        <v>630720000</v>
      </c>
      <c r="L44" s="120">
        <f t="shared" ref="L44" si="66">L43*60*60*24*365</f>
        <v>630720000</v>
      </c>
      <c r="M44" s="120">
        <f t="shared" ref="M44" si="67">M43*60*60*24*365</f>
        <v>630720000</v>
      </c>
      <c r="N44" s="120">
        <f t="shared" ref="N44" si="68">N43*60*60*24*365</f>
        <v>473040000</v>
      </c>
      <c r="O44" s="120">
        <f t="shared" ref="O44" si="69">O43*60*60*24*365</f>
        <v>630720000</v>
      </c>
      <c r="P44" s="147">
        <f>SUM(C44:O44)</f>
        <v>9271584000</v>
      </c>
      <c r="Q44" s="148">
        <f>P44/1000000000</f>
        <v>9.2715840000000007</v>
      </c>
      <c r="R44" s="10">
        <f>Q44/12</f>
        <v>0.7726320000000001</v>
      </c>
    </row>
    <row r="45" spans="1:18" x14ac:dyDescent="0.25">
      <c r="A45" s="781"/>
      <c r="B45" s="16" t="s">
        <v>237</v>
      </c>
      <c r="C45" s="62">
        <v>84</v>
      </c>
      <c r="D45" s="62">
        <v>21</v>
      </c>
      <c r="E45" s="62">
        <v>3</v>
      </c>
      <c r="F45" s="62">
        <v>8</v>
      </c>
      <c r="G45" s="62">
        <v>13</v>
      </c>
      <c r="H45" s="62">
        <v>13</v>
      </c>
      <c r="I45" s="62">
        <v>8</v>
      </c>
      <c r="J45" s="62"/>
      <c r="K45" s="62">
        <v>5</v>
      </c>
      <c r="L45" s="62">
        <v>5</v>
      </c>
      <c r="M45" s="62">
        <v>15</v>
      </c>
      <c r="N45" s="62">
        <v>33</v>
      </c>
      <c r="O45" s="62">
        <v>20</v>
      </c>
      <c r="P45" s="64"/>
      <c r="R45" s="10"/>
    </row>
    <row r="46" spans="1:18" x14ac:dyDescent="0.25">
      <c r="A46" s="201"/>
      <c r="B46" s="48"/>
      <c r="C46" s="120">
        <f t="shared" ref="C46" si="70">C45*60*60*24*365</f>
        <v>2649024000</v>
      </c>
      <c r="D46" s="120">
        <f t="shared" ref="D46" si="71">D45*60*60*24*365</f>
        <v>662256000</v>
      </c>
      <c r="E46" s="120">
        <f t="shared" ref="E46" si="72">E45*60*60*24*365</f>
        <v>94608000</v>
      </c>
      <c r="F46" s="120">
        <f t="shared" ref="F46" si="73">F45*60*60*24*365</f>
        <v>252288000</v>
      </c>
      <c r="G46" s="120">
        <f t="shared" ref="G46" si="74">G45*60*60*24*365</f>
        <v>409968000</v>
      </c>
      <c r="H46" s="120">
        <f t="shared" ref="H46" si="75">H45*60*60*24*365</f>
        <v>409968000</v>
      </c>
      <c r="I46" s="120">
        <f t="shared" ref="I46" si="76">I45*60*60*24*365</f>
        <v>252288000</v>
      </c>
      <c r="J46" s="120">
        <f t="shared" ref="J46" si="77">J45*60*60*24*365</f>
        <v>0</v>
      </c>
      <c r="K46" s="120">
        <f t="shared" ref="K46" si="78">K45*60*60*24*365</f>
        <v>157680000</v>
      </c>
      <c r="L46" s="120">
        <f t="shared" ref="L46" si="79">L45*60*60*24*365</f>
        <v>157680000</v>
      </c>
      <c r="M46" s="120">
        <f t="shared" ref="M46" si="80">M45*60*60*24*365</f>
        <v>473040000</v>
      </c>
      <c r="N46" s="120">
        <f t="shared" ref="N46" si="81">N45*60*60*24*365</f>
        <v>1040688000</v>
      </c>
      <c r="O46" s="120">
        <f t="shared" ref="O46" si="82">O45*60*60*24*365</f>
        <v>630720000</v>
      </c>
      <c r="P46" s="147">
        <f>SUM(C46:O46)</f>
        <v>7190208000</v>
      </c>
      <c r="Q46" s="148">
        <f>P46/1000000000</f>
        <v>7.1902080000000002</v>
      </c>
      <c r="R46" s="10">
        <f>Q46/12</f>
        <v>0.59918400000000005</v>
      </c>
    </row>
    <row r="47" spans="1:18" x14ac:dyDescent="0.25">
      <c r="A47" s="783" t="s">
        <v>236</v>
      </c>
      <c r="B47" s="177" t="s">
        <v>232</v>
      </c>
      <c r="C47" s="149">
        <v>33</v>
      </c>
      <c r="D47" s="149">
        <v>46</v>
      </c>
      <c r="E47" s="149">
        <v>59</v>
      </c>
      <c r="F47" s="149">
        <v>67</v>
      </c>
      <c r="G47" s="149">
        <v>112</v>
      </c>
      <c r="H47" s="149">
        <v>89</v>
      </c>
      <c r="I47" s="149">
        <v>66</v>
      </c>
      <c r="J47" s="149"/>
      <c r="K47" s="149">
        <v>71</v>
      </c>
      <c r="L47" s="149">
        <v>69</v>
      </c>
      <c r="M47" s="149">
        <v>73</v>
      </c>
      <c r="N47" s="149">
        <v>68</v>
      </c>
      <c r="O47" s="149">
        <v>49</v>
      </c>
      <c r="P47" s="150"/>
    </row>
    <row r="48" spans="1:18" x14ac:dyDescent="0.25">
      <c r="A48" s="784"/>
      <c r="B48" s="48"/>
      <c r="C48" s="120">
        <f t="shared" ref="C48" si="83">C47*60*60*24*365</f>
        <v>1040688000</v>
      </c>
      <c r="D48" s="120">
        <f t="shared" ref="D48" si="84">D47*60*60*24*365</f>
        <v>1450656000</v>
      </c>
      <c r="E48" s="120">
        <f t="shared" ref="E48" si="85">E47*60*60*24*365</f>
        <v>1860624000</v>
      </c>
      <c r="F48" s="120">
        <f t="shared" ref="F48" si="86">F47*60*60*24*365</f>
        <v>2112912000</v>
      </c>
      <c r="G48" s="120">
        <f t="shared" ref="G48" si="87">G47*60*60*24*365</f>
        <v>3532032000</v>
      </c>
      <c r="H48" s="120">
        <f t="shared" ref="H48" si="88">H47*60*60*24*365</f>
        <v>2806704000</v>
      </c>
      <c r="I48" s="120">
        <f t="shared" ref="I48" si="89">I47*60*60*24*365</f>
        <v>2081376000</v>
      </c>
      <c r="J48" s="120">
        <f t="shared" ref="J48" si="90">J47*60*60*24*365</f>
        <v>0</v>
      </c>
      <c r="K48" s="120">
        <f t="shared" ref="K48" si="91">K47*60*60*24*365</f>
        <v>2239056000</v>
      </c>
      <c r="L48" s="120">
        <f t="shared" ref="L48" si="92">L47*60*60*24*365</f>
        <v>2175984000</v>
      </c>
      <c r="M48" s="120">
        <f t="shared" ref="M48" si="93">M47*60*60*24*365</f>
        <v>2302128000</v>
      </c>
      <c r="N48" s="120">
        <f t="shared" ref="N48" si="94">N47*60*60*24*365</f>
        <v>2144448000</v>
      </c>
      <c r="O48" s="120">
        <f t="shared" ref="O48" si="95">O47*60*60*24*365</f>
        <v>1545264000</v>
      </c>
      <c r="P48" s="147">
        <f>SUM(C48:O48)</f>
        <v>25291872000</v>
      </c>
      <c r="Q48" s="148">
        <f>P48/1000000000</f>
        <v>25.291872000000001</v>
      </c>
      <c r="R48" s="10">
        <f>Q48/12</f>
        <v>2.107656</v>
      </c>
    </row>
    <row r="49" spans="1:18" ht="15.75" thickBot="1" x14ac:dyDescent="0.3">
      <c r="A49" s="785"/>
      <c r="B49" s="5" t="s">
        <v>237</v>
      </c>
      <c r="C49" s="63">
        <v>48</v>
      </c>
      <c r="D49" s="63">
        <v>44</v>
      </c>
      <c r="E49" s="63">
        <v>38</v>
      </c>
      <c r="F49" s="63">
        <v>54</v>
      </c>
      <c r="G49" s="63">
        <v>53</v>
      </c>
      <c r="H49" s="63">
        <v>55</v>
      </c>
      <c r="I49" s="63">
        <v>47</v>
      </c>
      <c r="J49" s="63"/>
      <c r="K49" s="63">
        <v>45</v>
      </c>
      <c r="L49" s="63">
        <v>48</v>
      </c>
      <c r="M49" s="63">
        <v>47</v>
      </c>
      <c r="N49" s="63">
        <v>46</v>
      </c>
      <c r="O49" s="63">
        <v>49</v>
      </c>
      <c r="P49" s="151"/>
    </row>
    <row r="50" spans="1:18" ht="15.75" thickTop="1" x14ac:dyDescent="0.25">
      <c r="A50" s="30"/>
      <c r="B50" s="48"/>
      <c r="C50" s="120">
        <f t="shared" ref="C50" si="96">C49*60*60*24*365</f>
        <v>1513728000</v>
      </c>
      <c r="D50" s="120">
        <f t="shared" ref="D50" si="97">D49*60*60*24*365</f>
        <v>1387584000</v>
      </c>
      <c r="E50" s="120">
        <f t="shared" ref="E50" si="98">E49*60*60*24*365</f>
        <v>1198368000</v>
      </c>
      <c r="F50" s="120">
        <f t="shared" ref="F50" si="99">F49*60*60*24*365</f>
        <v>1702944000</v>
      </c>
      <c r="G50" s="120">
        <f t="shared" ref="G50" si="100">G49*60*60*24*365</f>
        <v>1671408000</v>
      </c>
      <c r="H50" s="120">
        <f t="shared" ref="H50" si="101">H49*60*60*24*365</f>
        <v>1734480000</v>
      </c>
      <c r="I50" s="120">
        <f t="shared" ref="I50" si="102">I49*60*60*24*365</f>
        <v>1482192000</v>
      </c>
      <c r="J50" s="120">
        <f t="shared" ref="J50" si="103">J49*60*60*24*365</f>
        <v>0</v>
      </c>
      <c r="K50" s="120">
        <f t="shared" ref="K50" si="104">K49*60*60*24*365</f>
        <v>1419120000</v>
      </c>
      <c r="L50" s="120">
        <f t="shared" ref="L50" si="105">L49*60*60*24*365</f>
        <v>1513728000</v>
      </c>
      <c r="M50" s="120">
        <f t="shared" ref="M50" si="106">M49*60*60*24*365</f>
        <v>1482192000</v>
      </c>
      <c r="N50" s="120">
        <f t="shared" ref="N50" si="107">N49*60*60*24*365</f>
        <v>1450656000</v>
      </c>
      <c r="O50" s="120">
        <f t="shared" ref="O50" si="108">O49*60*60*24*365</f>
        <v>1545264000</v>
      </c>
      <c r="P50" s="147">
        <f>SUM(C50:O50)</f>
        <v>18101664000</v>
      </c>
      <c r="Q50" s="148">
        <f>P50/1000000000</f>
        <v>18.101664</v>
      </c>
      <c r="R50" s="10">
        <f>Q50/12</f>
        <v>1.508472</v>
      </c>
    </row>
  </sheetData>
  <mergeCells count="21">
    <mergeCell ref="A5:A6"/>
    <mergeCell ref="A1:P1"/>
    <mergeCell ref="P3:P4"/>
    <mergeCell ref="A2:P2"/>
    <mergeCell ref="C3:I3"/>
    <mergeCell ref="K3:O3"/>
    <mergeCell ref="A3:A4"/>
    <mergeCell ref="B3:B4"/>
    <mergeCell ref="A16:K16"/>
    <mergeCell ref="A21:D21"/>
    <mergeCell ref="G21:I21"/>
    <mergeCell ref="A7:A8"/>
    <mergeCell ref="A9:A10"/>
    <mergeCell ref="A11:A12"/>
    <mergeCell ref="A13:A14"/>
    <mergeCell ref="A17:I17"/>
    <mergeCell ref="A31:A33"/>
    <mergeCell ref="A35:A37"/>
    <mergeCell ref="A39:A41"/>
    <mergeCell ref="A43:A45"/>
    <mergeCell ref="A47:A49"/>
  </mergeCells>
  <printOptions horizontalCentered="1"/>
  <pageMargins left="0.45" right="0.45" top="0.5" bottom="0.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D26"/>
  <sheetViews>
    <sheetView rightToLeft="1" view="pageBreakPreview" topLeftCell="B1" zoomScale="90" zoomScaleSheetLayoutView="90" workbookViewId="0">
      <selection activeCell="H18" sqref="H18"/>
    </sheetView>
  </sheetViews>
  <sheetFormatPr defaultRowHeight="15" x14ac:dyDescent="0.25"/>
  <cols>
    <col min="1" max="1" width="4.28515625" customWidth="1"/>
    <col min="2" max="2" width="13.85546875" customWidth="1"/>
    <col min="3" max="10" width="10.140625" customWidth="1"/>
    <col min="11" max="11" width="10.140625" style="19" customWidth="1"/>
    <col min="12" max="13" width="10.140625" customWidth="1"/>
  </cols>
  <sheetData>
    <row r="1" spans="1:13" ht="26.25" customHeight="1" x14ac:dyDescent="0.25">
      <c r="A1" s="753" t="s">
        <v>430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2" spans="1:13" s="166" customFormat="1" ht="26.25" customHeight="1" thickBot="1" x14ac:dyDescent="0.3">
      <c r="A2" s="754" t="s">
        <v>403</v>
      </c>
      <c r="B2" s="754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423" t="s">
        <v>342</v>
      </c>
    </row>
    <row r="3" spans="1:13" ht="19.5" customHeight="1" thickTop="1" x14ac:dyDescent="0.25">
      <c r="A3" s="788" t="s">
        <v>7</v>
      </c>
      <c r="B3" s="788" t="s">
        <v>0</v>
      </c>
      <c r="C3" s="793" t="s">
        <v>431</v>
      </c>
      <c r="D3" s="793"/>
      <c r="E3" s="793"/>
      <c r="F3" s="793"/>
      <c r="G3" s="793"/>
      <c r="H3" s="793"/>
      <c r="I3" s="793"/>
      <c r="J3" s="793"/>
      <c r="K3" s="788" t="s">
        <v>334</v>
      </c>
      <c r="L3" s="788" t="s">
        <v>335</v>
      </c>
      <c r="M3" s="796" t="s">
        <v>223</v>
      </c>
    </row>
    <row r="4" spans="1:13" ht="19.5" customHeight="1" x14ac:dyDescent="0.25">
      <c r="A4" s="795"/>
      <c r="B4" s="795"/>
      <c r="C4" s="182" t="s">
        <v>27</v>
      </c>
      <c r="D4" s="182" t="s">
        <v>28</v>
      </c>
      <c r="E4" s="182" t="s">
        <v>29</v>
      </c>
      <c r="F4" s="182" t="s">
        <v>30</v>
      </c>
      <c r="G4" s="182" t="s">
        <v>12</v>
      </c>
      <c r="H4" s="182" t="s">
        <v>224</v>
      </c>
      <c r="I4" s="182" t="s">
        <v>14</v>
      </c>
      <c r="J4" s="182" t="s">
        <v>15</v>
      </c>
      <c r="K4" s="795"/>
      <c r="L4" s="795"/>
      <c r="M4" s="797"/>
    </row>
    <row r="5" spans="1:13" ht="20.25" customHeight="1" x14ac:dyDescent="0.25">
      <c r="A5" s="556" t="s">
        <v>31</v>
      </c>
      <c r="B5" s="44" t="s">
        <v>55</v>
      </c>
      <c r="C5" s="731">
        <v>85</v>
      </c>
      <c r="D5" s="732">
        <v>116</v>
      </c>
      <c r="E5" s="732">
        <v>323.7</v>
      </c>
      <c r="F5" s="732">
        <v>126.4</v>
      </c>
      <c r="G5" s="732">
        <v>101.4</v>
      </c>
      <c r="H5" s="732">
        <v>229.9</v>
      </c>
      <c r="I5" s="732">
        <v>203.8</v>
      </c>
      <c r="J5" s="731">
        <v>45</v>
      </c>
      <c r="K5" s="66">
        <f t="shared" ref="K5:K20" si="0">SUM(C5:J5)</f>
        <v>1231.2</v>
      </c>
      <c r="L5" s="58">
        <v>623</v>
      </c>
      <c r="M5" s="203">
        <f>K5/L5*100</f>
        <v>197.62439807383629</v>
      </c>
    </row>
    <row r="6" spans="1:13" ht="20.25" customHeight="1" x14ac:dyDescent="0.25">
      <c r="A6" s="54" t="s">
        <v>33</v>
      </c>
      <c r="B6" s="46" t="s">
        <v>56</v>
      </c>
      <c r="C6" s="731">
        <v>42</v>
      </c>
      <c r="D6" s="731">
        <v>133</v>
      </c>
      <c r="E6" s="731">
        <v>179.2</v>
      </c>
      <c r="F6" s="731">
        <v>130.19999999999999</v>
      </c>
      <c r="G6" s="731">
        <v>41</v>
      </c>
      <c r="H6" s="731">
        <v>194.9</v>
      </c>
      <c r="I6" s="731">
        <v>156.19999999999999</v>
      </c>
      <c r="J6" s="731">
        <v>5.4</v>
      </c>
      <c r="K6" s="67">
        <f t="shared" si="0"/>
        <v>881.9</v>
      </c>
      <c r="L6" s="55">
        <v>380</v>
      </c>
      <c r="M6" s="70">
        <f t="shared" ref="M6:M20" si="1">K6/L6*100</f>
        <v>232.07894736842104</v>
      </c>
    </row>
    <row r="7" spans="1:13" ht="20.25" customHeight="1" x14ac:dyDescent="0.25">
      <c r="A7" s="54" t="s">
        <v>34</v>
      </c>
      <c r="B7" s="46" t="s">
        <v>32</v>
      </c>
      <c r="C7" s="731">
        <v>28.5</v>
      </c>
      <c r="D7" s="731">
        <v>120</v>
      </c>
      <c r="E7" s="731">
        <v>151</v>
      </c>
      <c r="F7" s="731">
        <v>74</v>
      </c>
      <c r="G7" s="731">
        <v>19</v>
      </c>
      <c r="H7" s="731">
        <v>163</v>
      </c>
      <c r="I7" s="731">
        <v>133</v>
      </c>
      <c r="J7" s="731">
        <v>21</v>
      </c>
      <c r="K7" s="67">
        <f t="shared" si="0"/>
        <v>709.5</v>
      </c>
      <c r="L7" s="55">
        <v>345</v>
      </c>
      <c r="M7" s="70">
        <f t="shared" si="1"/>
        <v>205.65217391304347</v>
      </c>
    </row>
    <row r="8" spans="1:13" ht="20.25" customHeight="1" x14ac:dyDescent="0.25">
      <c r="A8" s="54" t="s">
        <v>35</v>
      </c>
      <c r="B8" s="46" t="s">
        <v>59</v>
      </c>
      <c r="C8" s="731">
        <v>39.200000000000003</v>
      </c>
      <c r="D8" s="731">
        <v>99.8</v>
      </c>
      <c r="E8" s="731">
        <v>287.2</v>
      </c>
      <c r="F8" s="731">
        <v>126</v>
      </c>
      <c r="G8" s="731">
        <v>105.8</v>
      </c>
      <c r="H8" s="731">
        <v>158.6</v>
      </c>
      <c r="I8" s="731">
        <v>175</v>
      </c>
      <c r="J8" s="731">
        <v>19.8</v>
      </c>
      <c r="K8" s="67">
        <f t="shared" si="0"/>
        <v>1011.4</v>
      </c>
      <c r="L8" s="55">
        <v>657</v>
      </c>
      <c r="M8" s="70">
        <f t="shared" si="1"/>
        <v>153.9421613394216</v>
      </c>
    </row>
    <row r="9" spans="1:13" ht="20.25" customHeight="1" x14ac:dyDescent="0.25">
      <c r="A9" s="54" t="s">
        <v>394</v>
      </c>
      <c r="B9" s="46" t="s">
        <v>36</v>
      </c>
      <c r="C9" s="731">
        <v>22.5</v>
      </c>
      <c r="D9" s="731">
        <v>127.5</v>
      </c>
      <c r="E9" s="731">
        <v>237.5</v>
      </c>
      <c r="F9" s="731">
        <v>110.5</v>
      </c>
      <c r="G9" s="731">
        <v>46</v>
      </c>
      <c r="H9" s="731">
        <v>177</v>
      </c>
      <c r="I9" s="731">
        <v>114</v>
      </c>
      <c r="J9" s="731">
        <v>8</v>
      </c>
      <c r="K9" s="67">
        <f t="shared" si="0"/>
        <v>843</v>
      </c>
      <c r="L9" s="55">
        <v>299</v>
      </c>
      <c r="M9" s="70">
        <f t="shared" si="1"/>
        <v>281.9397993311037</v>
      </c>
    </row>
    <row r="10" spans="1:13" ht="20.25" customHeight="1" x14ac:dyDescent="0.25">
      <c r="A10" s="54" t="s">
        <v>38</v>
      </c>
      <c r="B10" s="46" t="s">
        <v>37</v>
      </c>
      <c r="C10" s="731">
        <v>15.1</v>
      </c>
      <c r="D10" s="731">
        <v>60.1</v>
      </c>
      <c r="E10" s="731">
        <v>28.3</v>
      </c>
      <c r="F10" s="731">
        <v>50.1</v>
      </c>
      <c r="G10" s="731">
        <v>14.8</v>
      </c>
      <c r="H10" s="731">
        <v>40.9</v>
      </c>
      <c r="I10" s="731">
        <v>12.8</v>
      </c>
      <c r="J10" s="731">
        <v>0.7</v>
      </c>
      <c r="K10" s="308">
        <f t="shared" si="0"/>
        <v>222.8</v>
      </c>
      <c r="L10" s="55">
        <v>144</v>
      </c>
      <c r="M10" s="70">
        <f t="shared" si="1"/>
        <v>154.72222222222223</v>
      </c>
    </row>
    <row r="11" spans="1:13" ht="20.25" customHeight="1" x14ac:dyDescent="0.25">
      <c r="A11" s="54" t="s">
        <v>40</v>
      </c>
      <c r="B11" s="46" t="s">
        <v>39</v>
      </c>
      <c r="C11" s="731">
        <v>16</v>
      </c>
      <c r="D11" s="731">
        <v>55</v>
      </c>
      <c r="E11" s="731">
        <v>57</v>
      </c>
      <c r="F11" s="731">
        <v>27.5</v>
      </c>
      <c r="G11" s="731">
        <v>5</v>
      </c>
      <c r="H11" s="731">
        <v>55.5</v>
      </c>
      <c r="I11" s="731">
        <v>30.5</v>
      </c>
      <c r="J11" s="731">
        <v>2.5</v>
      </c>
      <c r="K11" s="67">
        <f t="shared" si="0"/>
        <v>249</v>
      </c>
      <c r="L11" s="55">
        <v>135</v>
      </c>
      <c r="M11" s="70">
        <f t="shared" si="1"/>
        <v>184.44444444444446</v>
      </c>
    </row>
    <row r="12" spans="1:13" ht="20.25" customHeight="1" x14ac:dyDescent="0.25">
      <c r="A12" s="54" t="s">
        <v>42</v>
      </c>
      <c r="B12" s="46" t="s">
        <v>41</v>
      </c>
      <c r="C12" s="731">
        <v>72.599999999999994</v>
      </c>
      <c r="D12" s="731">
        <v>102.2</v>
      </c>
      <c r="E12" s="731">
        <v>383.4</v>
      </c>
      <c r="F12" s="731">
        <v>248.6</v>
      </c>
      <c r="G12" s="731">
        <v>109.6</v>
      </c>
      <c r="H12" s="731">
        <v>304.39999999999998</v>
      </c>
      <c r="I12" s="731">
        <v>118.4</v>
      </c>
      <c r="J12" s="731">
        <v>9.4</v>
      </c>
      <c r="K12" s="67">
        <f t="shared" si="0"/>
        <v>1348.6000000000004</v>
      </c>
      <c r="L12" s="55">
        <v>608</v>
      </c>
      <c r="M12" s="70">
        <f t="shared" si="1"/>
        <v>221.80921052631587</v>
      </c>
    </row>
    <row r="13" spans="1:13" ht="20.25" customHeight="1" x14ac:dyDescent="0.25">
      <c r="A13" s="54" t="s">
        <v>44</v>
      </c>
      <c r="B13" s="46" t="s">
        <v>83</v>
      </c>
      <c r="C13" s="308">
        <v>5.7</v>
      </c>
      <c r="D13" s="308">
        <v>40</v>
      </c>
      <c r="E13" s="308">
        <v>17.2</v>
      </c>
      <c r="F13" s="308">
        <v>47.7</v>
      </c>
      <c r="G13" s="308">
        <v>9.1</v>
      </c>
      <c r="H13" s="308">
        <v>9.9</v>
      </c>
      <c r="I13" s="308">
        <v>25</v>
      </c>
      <c r="J13" s="731">
        <v>0</v>
      </c>
      <c r="K13" s="239">
        <f t="shared" si="0"/>
        <v>154.6</v>
      </c>
      <c r="L13" s="55">
        <v>95</v>
      </c>
      <c r="M13" s="70">
        <f t="shared" si="1"/>
        <v>162.73684210526315</v>
      </c>
    </row>
    <row r="14" spans="1:13" ht="20.25" customHeight="1" x14ac:dyDescent="0.25">
      <c r="A14" s="54" t="s">
        <v>45</v>
      </c>
      <c r="B14" s="46" t="s">
        <v>239</v>
      </c>
      <c r="C14" s="308">
        <v>35</v>
      </c>
      <c r="D14" s="308">
        <v>213.7</v>
      </c>
      <c r="E14" s="308">
        <v>39.700000000000003</v>
      </c>
      <c r="F14" s="308">
        <v>50.7</v>
      </c>
      <c r="G14" s="308">
        <v>44.6</v>
      </c>
      <c r="H14" s="308">
        <v>64.7</v>
      </c>
      <c r="I14" s="308">
        <v>40.6</v>
      </c>
      <c r="J14" s="308">
        <v>0.5</v>
      </c>
      <c r="K14" s="308">
        <f t="shared" si="0"/>
        <v>489.5</v>
      </c>
      <c r="L14" s="55">
        <v>111</v>
      </c>
      <c r="M14" s="70">
        <f t="shared" si="1"/>
        <v>440.99099099099101</v>
      </c>
    </row>
    <row r="15" spans="1:13" ht="20.25" customHeight="1" x14ac:dyDescent="0.25">
      <c r="A15" s="54" t="s">
        <v>46</v>
      </c>
      <c r="B15" s="46" t="s">
        <v>329</v>
      </c>
      <c r="C15" s="308">
        <v>14.9</v>
      </c>
      <c r="D15" s="308">
        <v>101.1</v>
      </c>
      <c r="E15" s="308">
        <v>17</v>
      </c>
      <c r="F15" s="308">
        <v>35</v>
      </c>
      <c r="G15" s="308">
        <v>13.8</v>
      </c>
      <c r="H15" s="308">
        <v>15</v>
      </c>
      <c r="I15" s="308">
        <v>40.6</v>
      </c>
      <c r="J15" s="308">
        <v>0</v>
      </c>
      <c r="K15" s="308">
        <f t="shared" si="0"/>
        <v>237.4</v>
      </c>
      <c r="L15" s="55">
        <v>138</v>
      </c>
      <c r="M15" s="70">
        <f t="shared" si="1"/>
        <v>172.0289855072464</v>
      </c>
    </row>
    <row r="16" spans="1:13" ht="20.25" customHeight="1" x14ac:dyDescent="0.25">
      <c r="A16" s="54" t="s">
        <v>47</v>
      </c>
      <c r="B16" s="46" t="s">
        <v>48</v>
      </c>
      <c r="C16" s="731">
        <v>3</v>
      </c>
      <c r="D16" s="731">
        <v>59.5</v>
      </c>
      <c r="E16" s="731">
        <v>30.5</v>
      </c>
      <c r="F16" s="731">
        <v>43</v>
      </c>
      <c r="G16" s="733">
        <v>5.9</v>
      </c>
      <c r="H16" s="733">
        <v>68.5</v>
      </c>
      <c r="I16" s="731">
        <v>25</v>
      </c>
      <c r="J16" s="308">
        <v>5.5</v>
      </c>
      <c r="K16" s="67">
        <f t="shared" si="0"/>
        <v>240.9</v>
      </c>
      <c r="L16" s="55">
        <v>151</v>
      </c>
      <c r="M16" s="70">
        <f t="shared" si="1"/>
        <v>159.53642384105962</v>
      </c>
    </row>
    <row r="17" spans="1:30" ht="20.25" customHeight="1" x14ac:dyDescent="0.25">
      <c r="A17" s="54" t="s">
        <v>49</v>
      </c>
      <c r="B17" s="46" t="s">
        <v>50</v>
      </c>
      <c r="C17" s="731">
        <v>26</v>
      </c>
      <c r="D17" s="731">
        <v>58.8</v>
      </c>
      <c r="E17" s="731">
        <v>36</v>
      </c>
      <c r="F17" s="731">
        <v>102.9</v>
      </c>
      <c r="G17" s="731">
        <v>0.7</v>
      </c>
      <c r="H17" s="733">
        <v>30.7</v>
      </c>
      <c r="I17" s="733">
        <v>16.8</v>
      </c>
      <c r="J17" s="731">
        <v>0</v>
      </c>
      <c r="K17" s="67">
        <f t="shared" si="0"/>
        <v>271.89999999999998</v>
      </c>
      <c r="L17" s="55">
        <v>100</v>
      </c>
      <c r="M17" s="70">
        <f t="shared" si="1"/>
        <v>271.89999999999998</v>
      </c>
    </row>
    <row r="18" spans="1:30" ht="20.25" customHeight="1" x14ac:dyDescent="0.25">
      <c r="A18" s="54" t="s">
        <v>51</v>
      </c>
      <c r="B18" s="46" t="s">
        <v>52</v>
      </c>
      <c r="C18" s="731">
        <v>80.599999999999994</v>
      </c>
      <c r="D18" s="731">
        <v>219.7</v>
      </c>
      <c r="E18" s="731">
        <v>78.7</v>
      </c>
      <c r="F18" s="731">
        <v>29.8</v>
      </c>
      <c r="G18" s="731">
        <v>31.1</v>
      </c>
      <c r="H18" s="733">
        <v>41.1</v>
      </c>
      <c r="I18" s="733">
        <v>45.5</v>
      </c>
      <c r="J18" s="733">
        <v>1.5</v>
      </c>
      <c r="K18" s="67">
        <f>SUM(C18:J18)</f>
        <v>528</v>
      </c>
      <c r="L18" s="55">
        <v>205</v>
      </c>
      <c r="M18" s="70">
        <f t="shared" si="1"/>
        <v>257.5609756097561</v>
      </c>
    </row>
    <row r="19" spans="1:30" ht="20.25" customHeight="1" x14ac:dyDescent="0.25">
      <c r="A19" s="54" t="s">
        <v>53</v>
      </c>
      <c r="B19" s="65" t="s">
        <v>240</v>
      </c>
      <c r="C19" s="308">
        <v>8.1999999999999993</v>
      </c>
      <c r="D19" s="308">
        <v>131.69999999999999</v>
      </c>
      <c r="E19" s="308">
        <v>40.200000000000003</v>
      </c>
      <c r="F19" s="308">
        <v>12.6</v>
      </c>
      <c r="G19" s="308">
        <v>8.5</v>
      </c>
      <c r="H19" s="308">
        <v>11.8</v>
      </c>
      <c r="I19" s="308">
        <v>40.6</v>
      </c>
      <c r="J19" s="733">
        <v>0</v>
      </c>
      <c r="K19" s="239">
        <f t="shared" si="0"/>
        <v>253.59999999999997</v>
      </c>
      <c r="L19" s="53">
        <v>74</v>
      </c>
      <c r="M19" s="70">
        <f t="shared" si="1"/>
        <v>342.70270270270265</v>
      </c>
    </row>
    <row r="20" spans="1:30" ht="20.25" customHeight="1" thickBot="1" x14ac:dyDescent="0.3">
      <c r="A20" s="557" t="s">
        <v>57</v>
      </c>
      <c r="B20" s="47" t="s">
        <v>54</v>
      </c>
      <c r="C20" s="739">
        <v>53</v>
      </c>
      <c r="D20" s="739">
        <v>154.69999999999999</v>
      </c>
      <c r="E20" s="739">
        <v>65.099999999999994</v>
      </c>
      <c r="F20" s="739">
        <v>68</v>
      </c>
      <c r="G20" s="739">
        <v>38.5</v>
      </c>
      <c r="H20" s="740">
        <v>29.8</v>
      </c>
      <c r="I20" s="740">
        <v>37.6</v>
      </c>
      <c r="J20" s="741">
        <v>0</v>
      </c>
      <c r="K20" s="68">
        <f t="shared" si="0"/>
        <v>446.7</v>
      </c>
      <c r="L20" s="69">
        <v>103</v>
      </c>
      <c r="M20" s="416">
        <f t="shared" si="1"/>
        <v>433.68932038834947</v>
      </c>
    </row>
    <row r="21" spans="1:30" ht="20.25" customHeight="1" thickTop="1" x14ac:dyDescent="0.25">
      <c r="A21" s="799" t="s">
        <v>471</v>
      </c>
      <c r="B21" s="799"/>
      <c r="C21" s="799"/>
      <c r="D21" s="799"/>
      <c r="E21" s="799"/>
      <c r="F21" s="799"/>
      <c r="G21" s="799"/>
      <c r="H21" s="799"/>
      <c r="I21" s="799"/>
      <c r="J21" s="799"/>
      <c r="K21" s="799"/>
      <c r="L21" s="799"/>
      <c r="M21" s="799"/>
    </row>
    <row r="22" spans="1:30" ht="20.25" customHeight="1" x14ac:dyDescent="0.25">
      <c r="A22" s="800" t="s">
        <v>470</v>
      </c>
      <c r="B22" s="800"/>
      <c r="C22" s="800"/>
      <c r="D22" s="800"/>
      <c r="E22" s="800"/>
      <c r="F22" s="800"/>
      <c r="G22" s="800"/>
      <c r="H22" s="800"/>
      <c r="I22" s="800"/>
      <c r="J22" s="800"/>
      <c r="K22" s="800"/>
      <c r="L22" s="800"/>
      <c r="M22" s="800"/>
    </row>
    <row r="23" spans="1:30" ht="20.25" customHeight="1" x14ac:dyDescent="0.25"/>
    <row r="24" spans="1:30" ht="20.25" customHeight="1" x14ac:dyDescent="0.25">
      <c r="A24" s="798" t="s">
        <v>4</v>
      </c>
      <c r="B24" s="798"/>
      <c r="C24" s="798"/>
      <c r="D24" s="798"/>
      <c r="E24" s="798"/>
      <c r="F24" s="798"/>
      <c r="G24" s="798"/>
      <c r="H24" s="798"/>
      <c r="I24" s="798"/>
      <c r="J24" s="798"/>
      <c r="K24" s="798"/>
      <c r="L24" s="798"/>
      <c r="M24" s="798"/>
      <c r="N24" s="49"/>
    </row>
    <row r="25" spans="1:30" ht="20.25" customHeight="1" x14ac:dyDescent="0.25">
      <c r="A25" s="555"/>
      <c r="B25" s="555"/>
      <c r="C25" s="555"/>
      <c r="D25" s="555"/>
      <c r="E25" s="555"/>
      <c r="F25" s="555"/>
      <c r="G25" s="555"/>
      <c r="H25" s="555"/>
      <c r="I25" s="555"/>
      <c r="J25" s="555"/>
      <c r="K25" s="555"/>
      <c r="L25" s="555"/>
      <c r="M25" s="555"/>
      <c r="N25" s="555"/>
    </row>
    <row r="26" spans="1:30" ht="20.25" customHeight="1" x14ac:dyDescent="0.25">
      <c r="A26" s="767" t="s">
        <v>230</v>
      </c>
      <c r="B26" s="767"/>
      <c r="C26" s="767"/>
      <c r="D26" s="767"/>
      <c r="E26" s="114"/>
      <c r="F26" s="786"/>
      <c r="G26" s="786"/>
      <c r="H26" s="786"/>
      <c r="I26" s="786"/>
      <c r="J26" s="114"/>
      <c r="K26" s="114"/>
      <c r="L26" s="114"/>
      <c r="M26" s="43">
        <v>19</v>
      </c>
      <c r="N26" s="15"/>
      <c r="O26" s="15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D26" s="9"/>
    </row>
  </sheetData>
  <mergeCells count="13">
    <mergeCell ref="A26:D26"/>
    <mergeCell ref="A1:M1"/>
    <mergeCell ref="A3:A4"/>
    <mergeCell ref="B3:B4"/>
    <mergeCell ref="M3:M4"/>
    <mergeCell ref="F26:I26"/>
    <mergeCell ref="A24:M24"/>
    <mergeCell ref="C3:J3"/>
    <mergeCell ref="K3:K4"/>
    <mergeCell ref="L3:L4"/>
    <mergeCell ref="A2:B2"/>
    <mergeCell ref="A21:M21"/>
    <mergeCell ref="A22:M22"/>
  </mergeCells>
  <printOptions horizontalCentered="1"/>
  <pageMargins left="0.45" right="0.45" top="0.5" bottom="0.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W54"/>
  <sheetViews>
    <sheetView rightToLeft="1" view="pageBreakPreview" zoomScale="90" zoomScaleSheetLayoutView="90" workbookViewId="0">
      <selection sqref="A1:N1"/>
    </sheetView>
  </sheetViews>
  <sheetFormatPr defaultColWidth="8.7109375" defaultRowHeight="15" x14ac:dyDescent="0.25"/>
  <cols>
    <col min="1" max="1" width="12.42578125" customWidth="1"/>
    <col min="2" max="9" width="11.5703125" customWidth="1"/>
    <col min="10" max="10" width="10.7109375" customWidth="1"/>
  </cols>
  <sheetData>
    <row r="1" spans="1:14" ht="24.75" customHeight="1" x14ac:dyDescent="0.25">
      <c r="A1" s="804" t="s">
        <v>432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</row>
    <row r="2" spans="1:14" ht="21" customHeight="1" x14ac:dyDescent="0.25">
      <c r="A2" s="238" t="s">
        <v>404</v>
      </c>
      <c r="B2" s="238"/>
      <c r="C2" s="238"/>
      <c r="D2" s="238"/>
      <c r="E2" s="238"/>
      <c r="F2" s="238"/>
      <c r="G2" s="238"/>
      <c r="H2" s="238"/>
      <c r="I2" s="238"/>
      <c r="J2" s="238"/>
      <c r="N2" s="570" t="s">
        <v>399</v>
      </c>
    </row>
    <row r="3" spans="1:14" ht="6.75" customHeight="1" thickBot="1" x14ac:dyDescent="0.3">
      <c r="B3" s="17"/>
      <c r="C3" s="17"/>
      <c r="D3" s="17"/>
      <c r="E3" s="17"/>
      <c r="F3" s="17"/>
    </row>
    <row r="4" spans="1:14" ht="32.25" customHeight="1" thickTop="1" x14ac:dyDescent="0.25">
      <c r="A4" s="179" t="s">
        <v>58</v>
      </c>
      <c r="B4" s="565" t="s">
        <v>64</v>
      </c>
      <c r="C4" s="565" t="s">
        <v>65</v>
      </c>
      <c r="D4" s="565" t="s">
        <v>66</v>
      </c>
      <c r="E4" s="565" t="s">
        <v>67</v>
      </c>
      <c r="F4" s="565" t="s">
        <v>12</v>
      </c>
      <c r="G4" s="565" t="s">
        <v>21</v>
      </c>
      <c r="H4" s="565" t="s">
        <v>14</v>
      </c>
      <c r="I4" s="565" t="s">
        <v>15</v>
      </c>
      <c r="J4" s="565" t="s">
        <v>16</v>
      </c>
      <c r="K4" s="565" t="s">
        <v>17</v>
      </c>
      <c r="L4" s="565" t="s">
        <v>22</v>
      </c>
      <c r="M4" s="565" t="s">
        <v>19</v>
      </c>
      <c r="N4" s="565" t="s">
        <v>398</v>
      </c>
    </row>
    <row r="5" spans="1:14" ht="27.75" customHeight="1" x14ac:dyDescent="0.25">
      <c r="A5" s="571" t="s">
        <v>32</v>
      </c>
      <c r="B5" s="61">
        <v>13.77</v>
      </c>
      <c r="C5" s="61">
        <v>6.8</v>
      </c>
      <c r="D5" s="61">
        <v>5.23</v>
      </c>
      <c r="E5" s="61">
        <v>6.69</v>
      </c>
      <c r="F5" s="61">
        <v>11.14</v>
      </c>
      <c r="G5" s="61">
        <v>19.07</v>
      </c>
      <c r="H5" s="61">
        <v>29.52</v>
      </c>
      <c r="I5" s="61">
        <v>46.53</v>
      </c>
      <c r="J5" s="61">
        <v>50.05</v>
      </c>
      <c r="K5" s="61">
        <v>61.92</v>
      </c>
      <c r="L5" s="61">
        <v>56.43</v>
      </c>
      <c r="M5" s="61">
        <v>34.229999999999997</v>
      </c>
      <c r="N5" s="61">
        <f t="shared" ref="N5:N13" si="0">SUM(B5:M5)</f>
        <v>341.38000000000005</v>
      </c>
    </row>
    <row r="6" spans="1:14" ht="27.75" customHeight="1" x14ac:dyDescent="0.25">
      <c r="A6" s="572" t="s">
        <v>59</v>
      </c>
      <c r="B6" s="52">
        <v>19.440000000000001</v>
      </c>
      <c r="C6" s="52">
        <v>10.11</v>
      </c>
      <c r="D6" s="52">
        <v>6.5</v>
      </c>
      <c r="E6" s="52">
        <v>7.23</v>
      </c>
      <c r="F6" s="52">
        <v>10.35</v>
      </c>
      <c r="G6" s="52">
        <v>18.559999999999999</v>
      </c>
      <c r="H6" s="52">
        <v>28.35</v>
      </c>
      <c r="I6" s="52">
        <v>43.54</v>
      </c>
      <c r="J6" s="52">
        <v>57.04</v>
      </c>
      <c r="K6" s="52">
        <v>65.52</v>
      </c>
      <c r="L6" s="52">
        <v>55.49</v>
      </c>
      <c r="M6" s="52">
        <v>38.31</v>
      </c>
      <c r="N6" s="52">
        <f t="shared" si="0"/>
        <v>360.44</v>
      </c>
    </row>
    <row r="7" spans="1:14" ht="27.75" customHeight="1" x14ac:dyDescent="0.25">
      <c r="A7" s="572" t="s">
        <v>60</v>
      </c>
      <c r="B7" s="52">
        <v>6.04</v>
      </c>
      <c r="C7" s="52">
        <v>2.79</v>
      </c>
      <c r="D7" s="52">
        <v>1.71</v>
      </c>
      <c r="E7" s="52">
        <v>1.88</v>
      </c>
      <c r="F7" s="52">
        <v>2.88</v>
      </c>
      <c r="G7" s="52">
        <v>6.19</v>
      </c>
      <c r="H7" s="52">
        <v>9.48</v>
      </c>
      <c r="I7" s="52">
        <v>17.559999999999999</v>
      </c>
      <c r="J7" s="52">
        <v>23.23</v>
      </c>
      <c r="K7" s="52">
        <v>24.98</v>
      </c>
      <c r="L7" s="52">
        <v>19.34</v>
      </c>
      <c r="M7" s="52">
        <v>11.46</v>
      </c>
      <c r="N7" s="52">
        <f t="shared" si="0"/>
        <v>127.54000000000002</v>
      </c>
    </row>
    <row r="8" spans="1:14" ht="27.75" customHeight="1" x14ac:dyDescent="0.25">
      <c r="A8" s="572" t="s">
        <v>278</v>
      </c>
      <c r="B8" s="52">
        <v>130.20000000000002</v>
      </c>
      <c r="C8" s="52">
        <v>68.98</v>
      </c>
      <c r="D8" s="52">
        <v>41.6</v>
      </c>
      <c r="E8" s="52">
        <v>40.380000000000003</v>
      </c>
      <c r="F8" s="52">
        <v>64.680000000000007</v>
      </c>
      <c r="G8" s="52">
        <v>117.04</v>
      </c>
      <c r="H8" s="52">
        <v>177.66</v>
      </c>
      <c r="I8" s="52">
        <v>282.83</v>
      </c>
      <c r="J8" s="52">
        <v>371.3</v>
      </c>
      <c r="K8" s="52">
        <v>412.55</v>
      </c>
      <c r="L8" s="52">
        <v>363.48</v>
      </c>
      <c r="M8" s="52">
        <v>256.64</v>
      </c>
      <c r="N8" s="52">
        <f t="shared" si="0"/>
        <v>2327.3399999999997</v>
      </c>
    </row>
    <row r="9" spans="1:14" ht="27.75" customHeight="1" x14ac:dyDescent="0.25">
      <c r="A9" s="572" t="s">
        <v>279</v>
      </c>
      <c r="B9" s="52">
        <v>5.6</v>
      </c>
      <c r="C9" s="52">
        <v>4.3899999999999997</v>
      </c>
      <c r="D9" s="52">
        <v>3.48</v>
      </c>
      <c r="E9" s="52">
        <v>3.9</v>
      </c>
      <c r="F9" s="52">
        <v>5.57</v>
      </c>
      <c r="G9" s="52">
        <v>11.53</v>
      </c>
      <c r="H9" s="52">
        <v>20.12</v>
      </c>
      <c r="I9" s="52">
        <v>32.44</v>
      </c>
      <c r="J9" s="52">
        <v>39.11</v>
      </c>
      <c r="K9" s="52">
        <v>43.29</v>
      </c>
      <c r="L9" s="52">
        <v>36.54</v>
      </c>
      <c r="M9" s="52">
        <v>24.1</v>
      </c>
      <c r="N9" s="52">
        <f t="shared" si="0"/>
        <v>230.07</v>
      </c>
    </row>
    <row r="10" spans="1:14" ht="27.75" customHeight="1" x14ac:dyDescent="0.25">
      <c r="A10" s="572" t="s">
        <v>241</v>
      </c>
      <c r="B10" s="52">
        <v>20.92</v>
      </c>
      <c r="C10" s="52">
        <v>10.84</v>
      </c>
      <c r="D10" s="52">
        <v>8.19</v>
      </c>
      <c r="E10" s="52">
        <v>10.99</v>
      </c>
      <c r="F10" s="52">
        <v>15.7</v>
      </c>
      <c r="G10" s="52">
        <v>30.17</v>
      </c>
      <c r="H10" s="52">
        <v>50.64</v>
      </c>
      <c r="I10" s="52">
        <v>74.459999999999994</v>
      </c>
      <c r="J10" s="52">
        <v>80.44</v>
      </c>
      <c r="K10" s="52">
        <v>89.03</v>
      </c>
      <c r="L10" s="52">
        <v>75.349999999999994</v>
      </c>
      <c r="M10" s="52">
        <v>53.37</v>
      </c>
      <c r="N10" s="52">
        <f t="shared" si="0"/>
        <v>520.1</v>
      </c>
    </row>
    <row r="11" spans="1:14" ht="27.75" customHeight="1" x14ac:dyDescent="0.25">
      <c r="A11" s="572" t="s">
        <v>62</v>
      </c>
      <c r="B11" s="52">
        <v>17.64</v>
      </c>
      <c r="C11" s="52">
        <v>8.08</v>
      </c>
      <c r="D11" s="52">
        <v>4.7300000000000004</v>
      </c>
      <c r="E11" s="52">
        <v>5.52</v>
      </c>
      <c r="F11" s="52">
        <v>9.32</v>
      </c>
      <c r="G11" s="52">
        <v>19.64</v>
      </c>
      <c r="H11" s="52">
        <v>33.54</v>
      </c>
      <c r="I11" s="52">
        <v>64.08</v>
      </c>
      <c r="J11" s="52">
        <v>87.98</v>
      </c>
      <c r="K11" s="52">
        <v>120.54</v>
      </c>
      <c r="L11" s="52">
        <v>117.11</v>
      </c>
      <c r="M11" s="52">
        <v>92.16</v>
      </c>
      <c r="N11" s="52">
        <f t="shared" si="0"/>
        <v>580.34</v>
      </c>
    </row>
    <row r="12" spans="1:14" ht="27.75" customHeight="1" thickBot="1" x14ac:dyDescent="0.3">
      <c r="A12" s="572" t="s">
        <v>280</v>
      </c>
      <c r="B12" s="52">
        <v>30.78</v>
      </c>
      <c r="C12" s="52">
        <v>16.96</v>
      </c>
      <c r="D12" s="52">
        <v>10.55</v>
      </c>
      <c r="E12" s="52">
        <v>6.8</v>
      </c>
      <c r="F12" s="52">
        <v>15.35</v>
      </c>
      <c r="G12" s="52">
        <v>25</v>
      </c>
      <c r="H12" s="52">
        <v>37.92</v>
      </c>
      <c r="I12" s="52">
        <v>54.52</v>
      </c>
      <c r="J12" s="52">
        <v>85.05</v>
      </c>
      <c r="K12" s="52">
        <v>105.75</v>
      </c>
      <c r="L12" s="52">
        <v>103.44</v>
      </c>
      <c r="M12" s="52">
        <v>85.86</v>
      </c>
      <c r="N12" s="52">
        <f t="shared" si="0"/>
        <v>577.98</v>
      </c>
    </row>
    <row r="13" spans="1:14" ht="27.75" customHeight="1" thickTop="1" thickBot="1" x14ac:dyDescent="0.3">
      <c r="A13" s="417" t="s">
        <v>222</v>
      </c>
      <c r="B13" s="595">
        <f t="shared" ref="B13:M13" si="1">SUM(B5:B12)</f>
        <v>244.39000000000001</v>
      </c>
      <c r="C13" s="595">
        <f t="shared" si="1"/>
        <v>128.95000000000002</v>
      </c>
      <c r="D13" s="595">
        <f t="shared" si="1"/>
        <v>81.990000000000009</v>
      </c>
      <c r="E13" s="595">
        <f t="shared" si="1"/>
        <v>83.39</v>
      </c>
      <c r="F13" s="595">
        <f t="shared" si="1"/>
        <v>134.99</v>
      </c>
      <c r="G13" s="595">
        <f t="shared" si="1"/>
        <v>247.2</v>
      </c>
      <c r="H13" s="595">
        <f t="shared" si="1"/>
        <v>387.23</v>
      </c>
      <c r="I13" s="595">
        <f t="shared" si="1"/>
        <v>615.95999999999992</v>
      </c>
      <c r="J13" s="595">
        <f t="shared" si="1"/>
        <v>794.2</v>
      </c>
      <c r="K13" s="595">
        <f t="shared" si="1"/>
        <v>923.57999999999993</v>
      </c>
      <c r="L13" s="595">
        <f t="shared" si="1"/>
        <v>827.18000000000006</v>
      </c>
      <c r="M13" s="595">
        <f t="shared" si="1"/>
        <v>596.13</v>
      </c>
      <c r="N13" s="595">
        <f t="shared" si="0"/>
        <v>5065.1900000000005</v>
      </c>
    </row>
    <row r="14" spans="1:14" ht="8.25" customHeight="1" thickTop="1" x14ac:dyDescent="0.25">
      <c r="A14" s="802"/>
      <c r="B14" s="802"/>
      <c r="C14" s="802"/>
      <c r="D14" s="802"/>
      <c r="E14" s="14"/>
      <c r="F14" s="14"/>
    </row>
    <row r="15" spans="1:14" ht="27.75" customHeight="1" x14ac:dyDescent="0.25">
      <c r="A15" s="798" t="s">
        <v>4</v>
      </c>
      <c r="B15" s="798"/>
      <c r="C15" s="798"/>
      <c r="D15" s="798"/>
      <c r="E15" s="798"/>
      <c r="F15" s="798"/>
      <c r="G15" s="798"/>
      <c r="H15" s="798"/>
      <c r="I15" s="798"/>
    </row>
    <row r="16" spans="1:14" ht="27.75" customHeight="1" x14ac:dyDescent="0.25">
      <c r="A16" s="569"/>
      <c r="B16" s="569"/>
      <c r="C16" s="569"/>
      <c r="D16" s="569"/>
      <c r="E16" s="569"/>
      <c r="F16" s="569"/>
      <c r="G16" s="569"/>
      <c r="H16" s="569"/>
      <c r="I16" s="569"/>
    </row>
    <row r="17" spans="1:23" ht="27.75" customHeight="1" x14ac:dyDescent="0.25">
      <c r="A17" s="569"/>
      <c r="B17" s="569"/>
      <c r="C17" s="569"/>
      <c r="D17" s="569"/>
      <c r="E17" s="569"/>
      <c r="F17" s="569"/>
      <c r="G17" s="569"/>
      <c r="H17" s="569"/>
      <c r="I17" s="569"/>
    </row>
    <row r="18" spans="1:23" ht="27.75" customHeight="1" x14ac:dyDescent="0.25">
      <c r="A18" s="569"/>
      <c r="B18" s="569"/>
      <c r="C18" s="569"/>
      <c r="D18" s="569"/>
      <c r="E18" s="569"/>
      <c r="F18" s="569"/>
      <c r="G18" s="569"/>
      <c r="H18" s="569"/>
      <c r="I18" s="569"/>
    </row>
    <row r="19" spans="1:23" ht="27.75" customHeight="1" x14ac:dyDescent="0.25">
      <c r="A19" s="569"/>
      <c r="B19" s="569"/>
      <c r="C19" s="569"/>
      <c r="D19" s="569"/>
      <c r="E19" s="569"/>
      <c r="F19" s="569"/>
      <c r="G19" s="569"/>
      <c r="H19" s="569"/>
      <c r="I19" s="569"/>
    </row>
    <row r="20" spans="1:23" ht="27.75" customHeight="1" x14ac:dyDescent="0.25">
      <c r="A20" s="569"/>
      <c r="B20" s="569"/>
      <c r="C20" s="569"/>
      <c r="D20" s="569"/>
      <c r="E20" s="569"/>
      <c r="F20" s="569"/>
      <c r="G20" s="569"/>
      <c r="H20" s="569"/>
      <c r="I20" s="569"/>
    </row>
    <row r="21" spans="1:23" ht="27.75" customHeight="1" x14ac:dyDescent="0.25">
      <c r="A21" s="569"/>
      <c r="B21" s="569"/>
      <c r="C21" s="569"/>
      <c r="D21" s="569"/>
      <c r="E21" s="569"/>
      <c r="F21" s="569"/>
      <c r="G21" s="569"/>
      <c r="H21" s="569"/>
      <c r="I21" s="569"/>
    </row>
    <row r="22" spans="1:23" ht="27.75" customHeight="1" x14ac:dyDescent="0.25">
      <c r="E22" s="21"/>
      <c r="F22" s="21"/>
    </row>
    <row r="23" spans="1:23" ht="27.75" customHeight="1" x14ac:dyDescent="0.25">
      <c r="A23" s="803" t="s">
        <v>230</v>
      </c>
      <c r="B23" s="803"/>
      <c r="C23" s="803"/>
      <c r="D23" s="115"/>
      <c r="E23" s="801"/>
      <c r="F23" s="801"/>
      <c r="G23" s="114"/>
      <c r="H23" s="114"/>
      <c r="I23" s="114"/>
      <c r="J23" s="114"/>
      <c r="K23" s="114"/>
      <c r="L23" s="114"/>
      <c r="M23" s="114"/>
      <c r="N23" s="43">
        <v>20</v>
      </c>
      <c r="O23" s="7"/>
      <c r="P23" s="7"/>
      <c r="Q23" s="7"/>
      <c r="R23" s="7"/>
      <c r="S23" s="7"/>
      <c r="T23" s="7"/>
      <c r="U23" s="7"/>
      <c r="W23" s="9"/>
    </row>
    <row r="39" spans="1:10" ht="15.75" thickBot="1" x14ac:dyDescent="0.3"/>
    <row r="40" spans="1:10" ht="15.75" thickTop="1" x14ac:dyDescent="0.25">
      <c r="A40" s="179" t="s">
        <v>58</v>
      </c>
      <c r="B40" s="183" t="s">
        <v>59</v>
      </c>
      <c r="C40" s="183" t="s">
        <v>60</v>
      </c>
      <c r="D40" s="183" t="s">
        <v>32</v>
      </c>
      <c r="E40" s="183" t="s">
        <v>62</v>
      </c>
      <c r="F40" s="183" t="s">
        <v>241</v>
      </c>
      <c r="G40" s="198" t="s">
        <v>278</v>
      </c>
      <c r="H40" s="198" t="s">
        <v>280</v>
      </c>
      <c r="I40" s="198" t="s">
        <v>279</v>
      </c>
      <c r="J40" s="198" t="s">
        <v>242</v>
      </c>
    </row>
    <row r="41" spans="1:10" x14ac:dyDescent="0.25">
      <c r="A41" s="527" t="s">
        <v>64</v>
      </c>
      <c r="B41" s="61">
        <v>23.69</v>
      </c>
      <c r="C41" s="61">
        <v>8.18</v>
      </c>
      <c r="D41" s="61">
        <v>16.07</v>
      </c>
      <c r="E41" s="471">
        <v>36.54</v>
      </c>
      <c r="F41" s="61">
        <v>35.229999999999997</v>
      </c>
      <c r="G41" s="474">
        <v>205.88</v>
      </c>
      <c r="H41" s="474">
        <v>43.09</v>
      </c>
      <c r="I41" s="474">
        <v>8.0500000000000007</v>
      </c>
      <c r="J41" s="61" t="s">
        <v>320</v>
      </c>
    </row>
    <row r="42" spans="1:10" x14ac:dyDescent="0.25">
      <c r="A42" s="46" t="s">
        <v>65</v>
      </c>
      <c r="B42" s="52">
        <v>12.2</v>
      </c>
      <c r="C42" s="52">
        <v>3.98</v>
      </c>
      <c r="D42" s="52">
        <v>8.0399999999999991</v>
      </c>
      <c r="E42" s="472">
        <v>17.190000000000001</v>
      </c>
      <c r="F42" s="52">
        <v>16.96</v>
      </c>
      <c r="G42" s="474">
        <v>107.47</v>
      </c>
      <c r="H42" s="474">
        <v>20.8</v>
      </c>
      <c r="I42" s="474">
        <v>3.87</v>
      </c>
      <c r="J42" s="52" t="s">
        <v>320</v>
      </c>
    </row>
    <row r="43" spans="1:10" x14ac:dyDescent="0.25">
      <c r="A43" s="46" t="s">
        <v>66</v>
      </c>
      <c r="B43" s="52">
        <v>6.96</v>
      </c>
      <c r="C43" s="52">
        <v>2.16</v>
      </c>
      <c r="D43" s="52">
        <v>4.91</v>
      </c>
      <c r="E43" s="472">
        <v>9.92</v>
      </c>
      <c r="F43" s="52">
        <v>9.49</v>
      </c>
      <c r="G43" s="474">
        <v>62.09</v>
      </c>
      <c r="H43" s="474">
        <v>12.43</v>
      </c>
      <c r="I43" s="474">
        <v>2.13</v>
      </c>
      <c r="J43" s="52" t="s">
        <v>320</v>
      </c>
    </row>
    <row r="44" spans="1:10" x14ac:dyDescent="0.25">
      <c r="A44" s="46" t="s">
        <v>67</v>
      </c>
      <c r="B44" s="52">
        <v>6.38</v>
      </c>
      <c r="C44" s="52">
        <v>2.0699999999999998</v>
      </c>
      <c r="D44" s="52">
        <v>5.07</v>
      </c>
      <c r="E44" s="472">
        <v>11.01</v>
      </c>
      <c r="F44" s="52">
        <v>8.82</v>
      </c>
      <c r="G44" s="474">
        <v>58.07</v>
      </c>
      <c r="H44" s="474">
        <v>7.35</v>
      </c>
      <c r="I44" s="474">
        <v>2.38</v>
      </c>
      <c r="J44" s="52" t="s">
        <v>320</v>
      </c>
    </row>
    <row r="45" spans="1:10" x14ac:dyDescent="0.25">
      <c r="A45" s="46" t="s">
        <v>12</v>
      </c>
      <c r="B45" s="52">
        <v>7.87</v>
      </c>
      <c r="C45" s="52">
        <v>2.81</v>
      </c>
      <c r="D45" s="52">
        <v>8</v>
      </c>
      <c r="E45" s="472">
        <v>17.91</v>
      </c>
      <c r="F45" s="52">
        <v>12.23</v>
      </c>
      <c r="G45" s="474">
        <v>90.55</v>
      </c>
      <c r="H45" s="474">
        <v>18.04</v>
      </c>
      <c r="I45" s="474">
        <v>3.66</v>
      </c>
      <c r="J45" s="52" t="s">
        <v>320</v>
      </c>
    </row>
    <row r="46" spans="1:10" x14ac:dyDescent="0.25">
      <c r="A46" s="46" t="s">
        <v>21</v>
      </c>
      <c r="B46" s="52">
        <v>13.96</v>
      </c>
      <c r="C46" s="52">
        <v>5.72</v>
      </c>
      <c r="D46" s="52">
        <v>16.28</v>
      </c>
      <c r="E46" s="472">
        <v>32.130000000000003</v>
      </c>
      <c r="F46" s="52">
        <v>20.66</v>
      </c>
      <c r="G46" s="474">
        <v>156.81</v>
      </c>
      <c r="H46" s="474">
        <v>33.18</v>
      </c>
      <c r="I46" s="474">
        <v>6.91</v>
      </c>
      <c r="J46" s="52" t="s">
        <v>320</v>
      </c>
    </row>
    <row r="47" spans="1:10" x14ac:dyDescent="0.25">
      <c r="A47" s="46" t="s">
        <v>14</v>
      </c>
      <c r="B47" s="52">
        <v>21.53</v>
      </c>
      <c r="C47" s="52">
        <v>9.5299999999999994</v>
      </c>
      <c r="D47" s="52">
        <v>25.72</v>
      </c>
      <c r="E47" s="472">
        <v>45.02</v>
      </c>
      <c r="F47" s="52">
        <v>29.42</v>
      </c>
      <c r="G47" s="474">
        <v>223.34</v>
      </c>
      <c r="H47" s="474">
        <v>41.5</v>
      </c>
      <c r="I47" s="474">
        <v>10.4</v>
      </c>
      <c r="J47" s="52" t="s">
        <v>320</v>
      </c>
    </row>
    <row r="48" spans="1:10" x14ac:dyDescent="0.25">
      <c r="A48" s="46" t="s">
        <v>15</v>
      </c>
      <c r="B48" s="52">
        <v>34.99</v>
      </c>
      <c r="C48" s="52">
        <v>17.260000000000002</v>
      </c>
      <c r="D48" s="52">
        <v>41.33</v>
      </c>
      <c r="E48" s="472">
        <v>67.28</v>
      </c>
      <c r="F48" s="52">
        <v>42.43</v>
      </c>
      <c r="G48" s="474">
        <v>326.83999999999997</v>
      </c>
      <c r="H48" s="474">
        <v>56.63</v>
      </c>
      <c r="I48" s="474">
        <v>15.29</v>
      </c>
      <c r="J48" s="52" t="s">
        <v>320</v>
      </c>
    </row>
    <row r="49" spans="1:10" x14ac:dyDescent="0.25">
      <c r="A49" s="46" t="s">
        <v>16</v>
      </c>
      <c r="B49" s="52">
        <v>46.71</v>
      </c>
      <c r="C49" s="52">
        <v>21.77</v>
      </c>
      <c r="D49" s="52">
        <v>48.95</v>
      </c>
      <c r="E49" s="472">
        <v>85.39</v>
      </c>
      <c r="F49" s="52">
        <v>51.66</v>
      </c>
      <c r="G49" s="474">
        <v>405.59</v>
      </c>
      <c r="H49" s="474">
        <v>70.77</v>
      </c>
      <c r="I49" s="474">
        <v>18.440000000000001</v>
      </c>
      <c r="J49" s="52" t="s">
        <v>320</v>
      </c>
    </row>
    <row r="50" spans="1:10" x14ac:dyDescent="0.25">
      <c r="A50" s="46" t="s">
        <v>17</v>
      </c>
      <c r="B50" s="52">
        <v>53.42</v>
      </c>
      <c r="C50" s="52">
        <v>20.83</v>
      </c>
      <c r="D50" s="52">
        <v>52.25</v>
      </c>
      <c r="E50" s="472">
        <v>90.26</v>
      </c>
      <c r="F50" s="52">
        <v>56.08</v>
      </c>
      <c r="G50" s="474">
        <v>446.78</v>
      </c>
      <c r="H50" s="474">
        <v>80.02</v>
      </c>
      <c r="I50" s="474">
        <v>20.399999999999999</v>
      </c>
      <c r="J50" s="52" t="s">
        <v>320</v>
      </c>
    </row>
    <row r="51" spans="1:10" x14ac:dyDescent="0.25">
      <c r="A51" s="46" t="s">
        <v>22</v>
      </c>
      <c r="B51" s="52">
        <v>46.21</v>
      </c>
      <c r="C51" s="52">
        <v>16.850000000000001</v>
      </c>
      <c r="D51" s="52">
        <v>41.75</v>
      </c>
      <c r="E51" s="472">
        <v>95.77</v>
      </c>
      <c r="F51" s="52">
        <v>50.65</v>
      </c>
      <c r="G51" s="474">
        <v>402</v>
      </c>
      <c r="H51" s="474">
        <v>71.760000000000005</v>
      </c>
      <c r="I51" s="474">
        <v>17.55</v>
      </c>
      <c r="J51" s="52" t="s">
        <v>320</v>
      </c>
    </row>
    <row r="52" spans="1:10" ht="15.75" thickBot="1" x14ac:dyDescent="0.3">
      <c r="A52" s="65" t="s">
        <v>19</v>
      </c>
      <c r="B52" s="110">
        <v>33.369999999999997</v>
      </c>
      <c r="C52" s="110">
        <v>11.37</v>
      </c>
      <c r="D52" s="110">
        <v>26.9</v>
      </c>
      <c r="E52" s="473">
        <v>46.08</v>
      </c>
      <c r="F52" s="110">
        <v>33.380000000000003</v>
      </c>
      <c r="G52" s="475">
        <v>291.8</v>
      </c>
      <c r="H52" s="475">
        <v>51.75</v>
      </c>
      <c r="I52" s="475">
        <v>11.55</v>
      </c>
      <c r="J52" s="110" t="s">
        <v>320</v>
      </c>
    </row>
    <row r="53" spans="1:10" ht="16.5" thickTop="1" thickBot="1" x14ac:dyDescent="0.3">
      <c r="A53" s="417" t="s">
        <v>222</v>
      </c>
      <c r="B53" s="469">
        <f t="shared" ref="B53:I53" si="2">SUM(B41:B52)</f>
        <v>307.29000000000002</v>
      </c>
      <c r="C53" s="469">
        <f t="shared" si="2"/>
        <v>122.53</v>
      </c>
      <c r="D53" s="469">
        <f t="shared" si="2"/>
        <v>295.27</v>
      </c>
      <c r="E53" s="470">
        <f t="shared" si="2"/>
        <v>554.5</v>
      </c>
      <c r="F53" s="469">
        <f t="shared" si="2"/>
        <v>367.01</v>
      </c>
      <c r="G53" s="469">
        <f t="shared" si="2"/>
        <v>2777.2200000000003</v>
      </c>
      <c r="H53" s="469">
        <f t="shared" si="2"/>
        <v>507.31999999999994</v>
      </c>
      <c r="I53" s="476">
        <f t="shared" si="2"/>
        <v>120.63</v>
      </c>
      <c r="J53" s="418" t="s">
        <v>320</v>
      </c>
    </row>
    <row r="54" spans="1:10" ht="15.75" thickTop="1" x14ac:dyDescent="0.25"/>
  </sheetData>
  <mergeCells count="5">
    <mergeCell ref="E23:F23"/>
    <mergeCell ref="A14:D14"/>
    <mergeCell ref="A23:C23"/>
    <mergeCell ref="A15:I15"/>
    <mergeCell ref="A1:N1"/>
  </mergeCells>
  <printOptions horizontalCentered="1"/>
  <pageMargins left="0.45" right="0.45" top="0.5" bottom="0.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24"/>
  <sheetViews>
    <sheetView rightToLeft="1" view="pageBreakPreview" zoomScale="120" zoomScaleSheetLayoutView="120" workbookViewId="0">
      <selection activeCell="A19" sqref="A19:E19"/>
    </sheetView>
  </sheetViews>
  <sheetFormatPr defaultColWidth="13.85546875" defaultRowHeight="21" x14ac:dyDescent="0.55000000000000004"/>
  <cols>
    <col min="1" max="1" width="22.28515625" style="22" customWidth="1"/>
    <col min="2" max="2" width="15.5703125" style="22" customWidth="1"/>
    <col min="3" max="4" width="15.5703125" customWidth="1"/>
    <col min="5" max="5" width="0.85546875" customWidth="1"/>
    <col min="6" max="6" width="16.140625" customWidth="1"/>
    <col min="7" max="7" width="15.5703125" customWidth="1"/>
  </cols>
  <sheetData>
    <row r="1" spans="1:8" ht="20.25" customHeight="1" x14ac:dyDescent="0.25">
      <c r="A1" s="810" t="s">
        <v>518</v>
      </c>
      <c r="B1" s="810"/>
      <c r="C1" s="810"/>
      <c r="D1" s="810"/>
      <c r="E1" s="810"/>
      <c r="F1" s="810"/>
      <c r="G1" s="810"/>
    </row>
    <row r="2" spans="1:8" s="166" customFormat="1" ht="20.25" customHeight="1" x14ac:dyDescent="0.25">
      <c r="A2" s="754" t="s">
        <v>405</v>
      </c>
      <c r="B2" s="754"/>
      <c r="C2" s="754"/>
      <c r="D2" s="754"/>
      <c r="E2" s="754"/>
      <c r="F2" s="754"/>
      <c r="G2" s="754"/>
    </row>
    <row r="3" spans="1:8" ht="5.25" customHeight="1" thickBot="1" x14ac:dyDescent="0.6"/>
    <row r="4" spans="1:8" s="23" customFormat="1" ht="31.5" customHeight="1" thickTop="1" x14ac:dyDescent="0.25">
      <c r="A4" s="788" t="s">
        <v>68</v>
      </c>
      <c r="B4" s="788" t="s">
        <v>69</v>
      </c>
      <c r="C4" s="792" t="s">
        <v>380</v>
      </c>
      <c r="D4" s="792"/>
      <c r="E4" s="184"/>
      <c r="F4" s="792" t="s">
        <v>433</v>
      </c>
      <c r="G4" s="792"/>
    </row>
    <row r="5" spans="1:8" s="23" customFormat="1" ht="29.25" customHeight="1" x14ac:dyDescent="0.25">
      <c r="A5" s="789"/>
      <c r="B5" s="789"/>
      <c r="C5" s="186" t="s">
        <v>70</v>
      </c>
      <c r="D5" s="186" t="s">
        <v>472</v>
      </c>
      <c r="E5" s="185"/>
      <c r="F5" s="186" t="s">
        <v>70</v>
      </c>
      <c r="G5" s="186" t="s">
        <v>472</v>
      </c>
    </row>
    <row r="6" spans="1:8" s="24" customFormat="1" ht="24.75" customHeight="1" x14ac:dyDescent="0.25">
      <c r="A6" s="807" t="s">
        <v>71</v>
      </c>
      <c r="B6" s="71" t="s">
        <v>32</v>
      </c>
      <c r="C6" s="77">
        <v>302.68</v>
      </c>
      <c r="D6" s="77">
        <v>2.734</v>
      </c>
      <c r="E6" s="76"/>
      <c r="F6" s="77">
        <v>316.55</v>
      </c>
      <c r="G6" s="77">
        <v>5.9779999999999998</v>
      </c>
    </row>
    <row r="7" spans="1:8" s="24" customFormat="1" ht="24.75" customHeight="1" x14ac:dyDescent="0.25">
      <c r="A7" s="808"/>
      <c r="B7" s="72" t="s">
        <v>62</v>
      </c>
      <c r="C7" s="79">
        <v>123.79</v>
      </c>
      <c r="D7" s="79">
        <v>1.381</v>
      </c>
      <c r="E7" s="78"/>
      <c r="F7" s="79">
        <v>145.68</v>
      </c>
      <c r="G7" s="79">
        <v>7.609</v>
      </c>
    </row>
    <row r="8" spans="1:8" s="24" customFormat="1" ht="24.75" customHeight="1" x14ac:dyDescent="0.25">
      <c r="A8" s="808"/>
      <c r="B8" s="72" t="s">
        <v>61</v>
      </c>
      <c r="C8" s="79">
        <v>43.34</v>
      </c>
      <c r="D8" s="79">
        <v>1.3240000000000001</v>
      </c>
      <c r="E8" s="78"/>
      <c r="F8" s="79">
        <v>56.56</v>
      </c>
      <c r="G8" s="79">
        <v>25.428999999999998</v>
      </c>
    </row>
    <row r="9" spans="1:8" s="24" customFormat="1" ht="24.75" customHeight="1" x14ac:dyDescent="0.25">
      <c r="A9" s="808"/>
      <c r="B9" s="73" t="s">
        <v>63</v>
      </c>
      <c r="C9" s="81">
        <v>42.52</v>
      </c>
      <c r="D9" s="81">
        <v>0</v>
      </c>
      <c r="E9" s="80"/>
      <c r="F9" s="81">
        <v>49.61</v>
      </c>
      <c r="G9" s="81">
        <v>2.012</v>
      </c>
    </row>
    <row r="10" spans="1:8" s="24" customFormat="1" ht="24.75" customHeight="1" x14ac:dyDescent="0.25">
      <c r="A10" s="809"/>
      <c r="B10" s="75" t="s">
        <v>208</v>
      </c>
      <c r="C10" s="204"/>
      <c r="D10" s="83">
        <f>SUM(D6:D9)</f>
        <v>5.4390000000000001</v>
      </c>
      <c r="E10" s="82"/>
      <c r="F10" s="204"/>
      <c r="G10" s="83">
        <f>SUM(G6:G9)</f>
        <v>41.027999999999999</v>
      </c>
      <c r="H10" s="526">
        <f>D10+D11+D12+D15</f>
        <v>10.772</v>
      </c>
    </row>
    <row r="11" spans="1:8" s="24" customFormat="1" ht="24.75" customHeight="1" x14ac:dyDescent="0.25">
      <c r="A11" s="157" t="s">
        <v>225</v>
      </c>
      <c r="B11" s="74" t="s">
        <v>59</v>
      </c>
      <c r="C11" s="86">
        <v>494.68</v>
      </c>
      <c r="D11" s="86">
        <v>2.9449999999999998</v>
      </c>
      <c r="E11" s="85"/>
      <c r="F11" s="86">
        <v>503.12</v>
      </c>
      <c r="G11" s="86">
        <v>4.7839999999999998</v>
      </c>
    </row>
    <row r="12" spans="1:8" s="24" customFormat="1" ht="24.75" customHeight="1" x14ac:dyDescent="0.25">
      <c r="A12" s="75" t="s">
        <v>72</v>
      </c>
      <c r="B12" s="75" t="s">
        <v>73</v>
      </c>
      <c r="C12" s="88">
        <v>117.2</v>
      </c>
      <c r="D12" s="83">
        <v>0.41799999999999998</v>
      </c>
      <c r="E12" s="87"/>
      <c r="F12" s="88">
        <v>128.4</v>
      </c>
      <c r="G12" s="83">
        <v>1.2490000000000001</v>
      </c>
    </row>
    <row r="13" spans="1:8" s="24" customFormat="1" ht="24.75" customHeight="1" x14ac:dyDescent="0.25">
      <c r="A13" s="807" t="s">
        <v>200</v>
      </c>
      <c r="B13" s="71" t="s">
        <v>60</v>
      </c>
      <c r="C13" s="77">
        <v>464.2</v>
      </c>
      <c r="D13" s="77">
        <v>1.105</v>
      </c>
      <c r="E13" s="76"/>
      <c r="F13" s="77">
        <v>471.51</v>
      </c>
      <c r="G13" s="77">
        <v>1.4470000000000001</v>
      </c>
    </row>
    <row r="14" spans="1:8" s="24" customFormat="1" ht="24.75" customHeight="1" x14ac:dyDescent="0.25">
      <c r="A14" s="808"/>
      <c r="B14" s="73" t="s">
        <v>43</v>
      </c>
      <c r="C14" s="81">
        <v>97.58</v>
      </c>
      <c r="D14" s="81">
        <v>0.86499999999999999</v>
      </c>
      <c r="E14" s="89"/>
      <c r="F14" s="81">
        <v>102.57</v>
      </c>
      <c r="G14" s="81">
        <v>1.9650000000000001</v>
      </c>
    </row>
    <row r="15" spans="1:8" s="24" customFormat="1" ht="24.75" customHeight="1" x14ac:dyDescent="0.25">
      <c r="A15" s="809"/>
      <c r="B15" s="75" t="s">
        <v>208</v>
      </c>
      <c r="C15" s="204"/>
      <c r="D15" s="83">
        <f>SUM(D13:D14)</f>
        <v>1.97</v>
      </c>
      <c r="E15" s="82"/>
      <c r="F15" s="204"/>
      <c r="G15" s="83">
        <f>SUM(G13:G14)</f>
        <v>3.4119999999999999</v>
      </c>
    </row>
    <row r="16" spans="1:8" s="24" customFormat="1" ht="24.75" customHeight="1" thickBot="1" x14ac:dyDescent="0.3">
      <c r="A16" s="806" t="s">
        <v>395</v>
      </c>
      <c r="B16" s="806"/>
      <c r="C16" s="712"/>
      <c r="D16" s="713">
        <f>D10+D11+D12+D15</f>
        <v>10.772</v>
      </c>
      <c r="E16" s="714"/>
      <c r="F16" s="712"/>
      <c r="G16" s="713">
        <f>G10+G11+G12+G15</f>
        <v>50.472999999999999</v>
      </c>
    </row>
    <row r="17" spans="1:19" s="25" customFormat="1" ht="9" customHeight="1" thickTop="1" x14ac:dyDescent="0.25">
      <c r="A17" s="125"/>
      <c r="B17" s="125"/>
      <c r="C17" s="84"/>
      <c r="D17" s="84"/>
      <c r="E17" s="84"/>
      <c r="F17" s="109"/>
      <c r="G17" s="124"/>
    </row>
    <row r="18" spans="1:19" s="24" customFormat="1" ht="24.75" customHeight="1" x14ac:dyDescent="0.25">
      <c r="A18" s="560" t="s">
        <v>4</v>
      </c>
      <c r="B18" s="748"/>
      <c r="C18" s="123"/>
      <c r="D18" s="123"/>
      <c r="E18" s="123"/>
      <c r="F18" s="26"/>
      <c r="G18" s="26"/>
    </row>
    <row r="19" spans="1:19" s="24" customFormat="1" ht="24.75" customHeight="1" x14ac:dyDescent="0.25">
      <c r="A19" s="802"/>
      <c r="B19" s="802"/>
      <c r="C19" s="802"/>
      <c r="D19" s="802"/>
      <c r="E19" s="802"/>
      <c r="F19" s="560"/>
      <c r="G19" s="50"/>
    </row>
    <row r="20" spans="1:19" s="24" customFormat="1" ht="24.75" customHeight="1" x14ac:dyDescent="0.25">
      <c r="B20" s="560"/>
      <c r="C20" s="560"/>
      <c r="D20" s="560"/>
      <c r="E20" s="560"/>
      <c r="F20" s="560"/>
      <c r="G20" s="50"/>
    </row>
    <row r="21" spans="1:19" ht="22.5" customHeight="1" x14ac:dyDescent="0.25">
      <c r="A21" s="560"/>
      <c r="B21" s="560"/>
      <c r="C21" s="560"/>
      <c r="D21" s="560"/>
      <c r="E21" s="560"/>
      <c r="F21" s="27"/>
      <c r="G21" s="12"/>
    </row>
    <row r="22" spans="1:19" ht="22.5" customHeight="1" x14ac:dyDescent="0.25">
      <c r="A22" s="803" t="s">
        <v>230</v>
      </c>
      <c r="B22" s="803"/>
      <c r="C22" s="566"/>
      <c r="D22" s="567"/>
      <c r="E22" s="567"/>
      <c r="F22" s="43"/>
      <c r="G22" s="43">
        <v>21</v>
      </c>
      <c r="H22" s="7"/>
      <c r="I22" s="7"/>
      <c r="J22" s="7"/>
      <c r="K22" s="7"/>
      <c r="L22" s="7"/>
      <c r="M22" s="7"/>
      <c r="N22" s="7"/>
      <c r="O22" s="7"/>
      <c r="P22" s="7"/>
      <c r="Q22" s="7"/>
      <c r="S22" s="9"/>
    </row>
    <row r="23" spans="1:19" x14ac:dyDescent="0.55000000000000004">
      <c r="C23" s="805"/>
      <c r="D23" s="805"/>
      <c r="E23" s="500"/>
      <c r="F23" s="14"/>
      <c r="G23" s="14"/>
    </row>
    <row r="24" spans="1:19" x14ac:dyDescent="0.55000000000000004">
      <c r="A24" s="121"/>
      <c r="B24" s="121"/>
      <c r="C24" s="14"/>
      <c r="D24" s="14"/>
      <c r="E24" s="14"/>
    </row>
  </sheetData>
  <mergeCells count="12">
    <mergeCell ref="A1:G1"/>
    <mergeCell ref="A2:G2"/>
    <mergeCell ref="A4:A5"/>
    <mergeCell ref="B4:B5"/>
    <mergeCell ref="C4:D4"/>
    <mergeCell ref="F4:G4"/>
    <mergeCell ref="C23:D23"/>
    <mergeCell ref="A22:B22"/>
    <mergeCell ref="A19:E19"/>
    <mergeCell ref="A16:B16"/>
    <mergeCell ref="A6:A10"/>
    <mergeCell ref="A13:A15"/>
  </mergeCells>
  <printOptions horizontalCentered="1"/>
  <pageMargins left="0.45" right="0.45" top="0.5" bottom="0.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25"/>
  <sheetViews>
    <sheetView rightToLeft="1" view="pageBreakPreview" zoomScale="80" zoomScaleSheetLayoutView="80" workbookViewId="0">
      <selection activeCell="D10" sqref="D10"/>
    </sheetView>
  </sheetViews>
  <sheetFormatPr defaultColWidth="10.42578125" defaultRowHeight="15" x14ac:dyDescent="0.25"/>
  <cols>
    <col min="1" max="1" width="12.5703125" customWidth="1"/>
    <col min="2" max="2" width="13" customWidth="1"/>
    <col min="3" max="3" width="10.42578125" customWidth="1"/>
    <col min="4" max="4" width="15.7109375" customWidth="1"/>
    <col min="5" max="5" width="15.85546875" customWidth="1"/>
    <col min="6" max="9" width="15.7109375" customWidth="1"/>
    <col min="10" max="10" width="15.140625" customWidth="1"/>
  </cols>
  <sheetData>
    <row r="1" spans="1:19" ht="23.25" customHeight="1" x14ac:dyDescent="0.25">
      <c r="A1" s="813" t="s">
        <v>434</v>
      </c>
      <c r="B1" s="813"/>
      <c r="C1" s="813"/>
      <c r="D1" s="813"/>
      <c r="E1" s="813"/>
      <c r="F1" s="813"/>
      <c r="G1" s="813"/>
      <c r="H1" s="813"/>
      <c r="I1" s="813"/>
      <c r="J1" s="813"/>
    </row>
    <row r="2" spans="1:19" ht="23.25" customHeight="1" thickBot="1" x14ac:dyDescent="0.3">
      <c r="A2" s="814" t="s">
        <v>497</v>
      </c>
      <c r="B2" s="814"/>
      <c r="C2" s="814"/>
      <c r="D2" s="814"/>
      <c r="E2" s="814"/>
      <c r="F2" s="814"/>
      <c r="G2" s="814"/>
      <c r="H2" s="814"/>
      <c r="I2" s="814"/>
      <c r="J2" s="814"/>
    </row>
    <row r="3" spans="1:19" ht="26.25" customHeight="1" thickTop="1" x14ac:dyDescent="0.25">
      <c r="A3" s="788" t="s">
        <v>75</v>
      </c>
      <c r="B3" s="792" t="s">
        <v>251</v>
      </c>
      <c r="C3" s="792"/>
      <c r="D3" s="425" t="s">
        <v>283</v>
      </c>
      <c r="E3" s="425" t="s">
        <v>346</v>
      </c>
      <c r="F3" s="425" t="s">
        <v>347</v>
      </c>
      <c r="G3" s="793" t="s">
        <v>356</v>
      </c>
      <c r="H3" s="793"/>
      <c r="I3" s="793"/>
      <c r="J3" s="788" t="s">
        <v>252</v>
      </c>
    </row>
    <row r="4" spans="1:19" ht="26.25" customHeight="1" x14ac:dyDescent="0.25">
      <c r="A4" s="795"/>
      <c r="B4" s="182" t="s">
        <v>282</v>
      </c>
      <c r="C4" s="264" t="s">
        <v>254</v>
      </c>
      <c r="D4" s="314" t="s">
        <v>284</v>
      </c>
      <c r="E4" s="314" t="s">
        <v>284</v>
      </c>
      <c r="F4" s="314" t="s">
        <v>284</v>
      </c>
      <c r="G4" s="264" t="s">
        <v>285</v>
      </c>
      <c r="H4" s="264" t="s">
        <v>286</v>
      </c>
      <c r="I4" s="264" t="s">
        <v>26</v>
      </c>
      <c r="J4" s="795"/>
    </row>
    <row r="5" spans="1:19" s="19" customFormat="1" ht="23.25" customHeight="1" x14ac:dyDescent="0.25">
      <c r="A5" s="628" t="s">
        <v>76</v>
      </c>
      <c r="B5" s="254">
        <v>33</v>
      </c>
      <c r="C5" s="596">
        <f t="shared" ref="C5:C7" si="0">B5/248*100</f>
        <v>13.306451612903224</v>
      </c>
      <c r="D5" s="342">
        <v>1332300</v>
      </c>
      <c r="E5" s="342">
        <v>1199070</v>
      </c>
      <c r="F5" s="342">
        <v>1515800</v>
      </c>
      <c r="G5" s="342">
        <v>1582615</v>
      </c>
      <c r="H5" s="342">
        <v>8975</v>
      </c>
      <c r="I5" s="342">
        <f t="shared" ref="I5:I20" si="1">SUM(G5:H5)</f>
        <v>1591590</v>
      </c>
      <c r="J5" s="552">
        <f>F5/D5*100</f>
        <v>113.77317421001277</v>
      </c>
    </row>
    <row r="6" spans="1:19" s="299" customFormat="1" ht="23.25" customHeight="1" x14ac:dyDescent="0.25">
      <c r="A6" s="628" t="s">
        <v>77</v>
      </c>
      <c r="B6" s="254">
        <v>10</v>
      </c>
      <c r="C6" s="596">
        <f t="shared" si="0"/>
        <v>4.032258064516129</v>
      </c>
      <c r="D6" s="342">
        <v>587708</v>
      </c>
      <c r="E6" s="342">
        <v>528937</v>
      </c>
      <c r="F6" s="342">
        <v>342372</v>
      </c>
      <c r="G6" s="342">
        <v>376609</v>
      </c>
      <c r="H6" s="342">
        <v>270</v>
      </c>
      <c r="I6" s="342">
        <f t="shared" si="1"/>
        <v>376879</v>
      </c>
      <c r="J6" s="552">
        <f t="shared" ref="J6:J21" si="2">F6/D6*100</f>
        <v>58.255460194518371</v>
      </c>
      <c r="K6" s="597"/>
      <c r="L6" s="629"/>
      <c r="M6" s="629"/>
      <c r="N6" s="629"/>
      <c r="O6" s="629"/>
      <c r="P6" s="630"/>
      <c r="Q6" s="621"/>
      <c r="R6" s="621"/>
      <c r="S6" s="621"/>
    </row>
    <row r="7" spans="1:19" s="299" customFormat="1" ht="23.25" customHeight="1" x14ac:dyDescent="0.2">
      <c r="A7" s="253" t="s">
        <v>78</v>
      </c>
      <c r="B7" s="254">
        <v>26</v>
      </c>
      <c r="C7" s="596">
        <f t="shared" si="0"/>
        <v>10.483870967741936</v>
      </c>
      <c r="D7" s="342">
        <v>468480</v>
      </c>
      <c r="E7" s="342">
        <v>398208</v>
      </c>
      <c r="F7" s="342">
        <v>398208</v>
      </c>
      <c r="G7" s="255">
        <v>406140</v>
      </c>
      <c r="H7" s="255">
        <v>245</v>
      </c>
      <c r="I7" s="255">
        <f t="shared" si="1"/>
        <v>406385</v>
      </c>
      <c r="J7" s="552">
        <f t="shared" si="2"/>
        <v>85</v>
      </c>
      <c r="K7" s="597"/>
      <c r="L7" s="458"/>
      <c r="M7" s="598"/>
      <c r="N7" s="459"/>
      <c r="O7" s="459"/>
      <c r="P7" s="600"/>
      <c r="Q7" s="600"/>
      <c r="R7" s="600"/>
    </row>
    <row r="8" spans="1:19" s="299" customFormat="1" ht="23.25" customHeight="1" x14ac:dyDescent="0.2">
      <c r="A8" s="253" t="s">
        <v>336</v>
      </c>
      <c r="B8" s="254">
        <v>26</v>
      </c>
      <c r="C8" s="596">
        <f>B8/248*100</f>
        <v>10.483870967741936</v>
      </c>
      <c r="D8" s="342">
        <v>273000</v>
      </c>
      <c r="E8" s="342">
        <v>204756</v>
      </c>
      <c r="F8" s="342">
        <v>174036</v>
      </c>
      <c r="G8" s="255">
        <v>327600</v>
      </c>
      <c r="H8" s="255">
        <v>0</v>
      </c>
      <c r="I8" s="255">
        <f t="shared" si="1"/>
        <v>327600</v>
      </c>
      <c r="J8" s="552">
        <f t="shared" si="2"/>
        <v>63.74945054945055</v>
      </c>
      <c r="K8" s="597"/>
      <c r="L8" s="458"/>
      <c r="M8" s="598"/>
      <c r="N8" s="459"/>
      <c r="O8" s="459"/>
      <c r="P8" s="600"/>
      <c r="Q8" s="600"/>
      <c r="R8" s="600"/>
    </row>
    <row r="9" spans="1:19" s="299" customFormat="1" ht="23.25" customHeight="1" x14ac:dyDescent="0.2">
      <c r="A9" s="253" t="s">
        <v>89</v>
      </c>
      <c r="B9" s="254">
        <v>13</v>
      </c>
      <c r="C9" s="596">
        <f t="shared" ref="C9:C20" si="3">B9/248*100</f>
        <v>5.241935483870968</v>
      </c>
      <c r="D9" s="342">
        <v>4430500</v>
      </c>
      <c r="E9" s="342">
        <v>3900000</v>
      </c>
      <c r="F9" s="342">
        <v>3888000</v>
      </c>
      <c r="G9" s="255">
        <v>4000000</v>
      </c>
      <c r="H9" s="255">
        <v>0</v>
      </c>
      <c r="I9" s="255">
        <f t="shared" si="1"/>
        <v>4000000</v>
      </c>
      <c r="J9" s="552">
        <f t="shared" si="2"/>
        <v>87.755332355264642</v>
      </c>
      <c r="K9" s="597"/>
      <c r="L9" s="458"/>
      <c r="M9" s="598"/>
      <c r="N9" s="458"/>
      <c r="O9" s="458"/>
    </row>
    <row r="10" spans="1:19" s="299" customFormat="1" ht="23.25" customHeight="1" x14ac:dyDescent="0.2">
      <c r="A10" s="253" t="s">
        <v>80</v>
      </c>
      <c r="B10" s="254">
        <v>12</v>
      </c>
      <c r="C10" s="596">
        <f t="shared" si="3"/>
        <v>4.838709677419355</v>
      </c>
      <c r="D10" s="342">
        <v>612000</v>
      </c>
      <c r="E10" s="342">
        <v>435600</v>
      </c>
      <c r="F10" s="342">
        <v>435600</v>
      </c>
      <c r="G10" s="255">
        <v>479160</v>
      </c>
      <c r="H10" s="255">
        <v>0</v>
      </c>
      <c r="I10" s="255">
        <f t="shared" si="1"/>
        <v>479160</v>
      </c>
      <c r="J10" s="552">
        <f t="shared" si="2"/>
        <v>71.17647058823529</v>
      </c>
      <c r="K10" s="597"/>
      <c r="L10" s="458"/>
      <c r="M10" s="598"/>
      <c r="N10" s="458"/>
      <c r="O10" s="458"/>
    </row>
    <row r="11" spans="1:19" s="299" customFormat="1" ht="23.25" customHeight="1" x14ac:dyDescent="0.2">
      <c r="A11" s="253" t="s">
        <v>82</v>
      </c>
      <c r="B11" s="254">
        <v>20</v>
      </c>
      <c r="C11" s="596">
        <f t="shared" si="3"/>
        <v>8.064516129032258</v>
      </c>
      <c r="D11" s="342">
        <v>433560</v>
      </c>
      <c r="E11" s="342">
        <v>411882</v>
      </c>
      <c r="F11" s="342">
        <v>368526</v>
      </c>
      <c r="G11" s="342">
        <v>476916</v>
      </c>
      <c r="H11" s="342">
        <v>0</v>
      </c>
      <c r="I11" s="255">
        <f t="shared" si="1"/>
        <v>476916</v>
      </c>
      <c r="J11" s="552">
        <f t="shared" si="2"/>
        <v>85</v>
      </c>
      <c r="K11" s="597"/>
      <c r="L11" s="458"/>
      <c r="M11" s="598"/>
      <c r="N11" s="458"/>
      <c r="O11" s="458"/>
    </row>
    <row r="12" spans="1:19" s="299" customFormat="1" ht="23.25" customHeight="1" x14ac:dyDescent="0.2">
      <c r="A12" s="253" t="s">
        <v>74</v>
      </c>
      <c r="B12" s="642">
        <v>7</v>
      </c>
      <c r="C12" s="596">
        <f t="shared" si="3"/>
        <v>2.82258064516129</v>
      </c>
      <c r="D12" s="342">
        <v>563200</v>
      </c>
      <c r="E12" s="342">
        <v>506880</v>
      </c>
      <c r="F12" s="342">
        <v>478720</v>
      </c>
      <c r="G12" s="251">
        <v>619520</v>
      </c>
      <c r="H12" s="251">
        <v>0</v>
      </c>
      <c r="I12" s="251">
        <f t="shared" si="1"/>
        <v>619520</v>
      </c>
      <c r="J12" s="552">
        <f t="shared" si="2"/>
        <v>85</v>
      </c>
      <c r="K12" s="597"/>
      <c r="L12" s="458"/>
      <c r="M12" s="598"/>
      <c r="N12" s="458"/>
      <c r="O12" s="458"/>
    </row>
    <row r="13" spans="1:19" s="298" customFormat="1" ht="23.25" customHeight="1" x14ac:dyDescent="0.2">
      <c r="A13" s="253" t="s">
        <v>81</v>
      </c>
      <c r="B13" s="254">
        <v>20</v>
      </c>
      <c r="C13" s="596">
        <f t="shared" si="3"/>
        <v>8.064516129032258</v>
      </c>
      <c r="D13" s="342">
        <v>498000</v>
      </c>
      <c r="E13" s="342">
        <v>390000</v>
      </c>
      <c r="F13" s="342">
        <v>320000</v>
      </c>
      <c r="G13" s="255">
        <v>336000</v>
      </c>
      <c r="H13" s="255">
        <v>0</v>
      </c>
      <c r="I13" s="255">
        <f t="shared" si="1"/>
        <v>336000</v>
      </c>
      <c r="J13" s="552">
        <f t="shared" si="2"/>
        <v>64.257028112449802</v>
      </c>
      <c r="K13" s="812"/>
      <c r="L13" s="812"/>
      <c r="M13" s="812"/>
      <c r="N13" s="812"/>
      <c r="O13" s="812"/>
      <c r="P13" s="812"/>
      <c r="Q13" s="812"/>
      <c r="R13" s="812"/>
    </row>
    <row r="14" spans="1:19" s="298" customFormat="1" ht="23.25" customHeight="1" x14ac:dyDescent="0.2">
      <c r="A14" s="253" t="s">
        <v>79</v>
      </c>
      <c r="B14" s="254">
        <v>22</v>
      </c>
      <c r="C14" s="596">
        <f t="shared" si="3"/>
        <v>8.870967741935484</v>
      </c>
      <c r="D14" s="342">
        <v>556008</v>
      </c>
      <c r="E14" s="342">
        <v>549288</v>
      </c>
      <c r="F14" s="342">
        <v>283785</v>
      </c>
      <c r="G14" s="255">
        <v>510813</v>
      </c>
      <c r="H14" s="255">
        <v>0</v>
      </c>
      <c r="I14" s="255">
        <f t="shared" si="1"/>
        <v>510813</v>
      </c>
      <c r="J14" s="552">
        <f t="shared" si="2"/>
        <v>51.039733241248328</v>
      </c>
      <c r="K14" s="597"/>
      <c r="L14" s="458"/>
      <c r="M14" s="598"/>
      <c r="N14" s="458"/>
      <c r="O14" s="458"/>
    </row>
    <row r="15" spans="1:19" s="298" customFormat="1" ht="23.25" customHeight="1" x14ac:dyDescent="0.2">
      <c r="A15" s="253" t="s">
        <v>83</v>
      </c>
      <c r="B15" s="254">
        <v>6</v>
      </c>
      <c r="C15" s="596">
        <f t="shared" si="3"/>
        <v>2.4193548387096775</v>
      </c>
      <c r="D15" s="342">
        <v>363000</v>
      </c>
      <c r="E15" s="342">
        <v>363000</v>
      </c>
      <c r="F15" s="342">
        <v>363000</v>
      </c>
      <c r="G15" s="255">
        <v>400000</v>
      </c>
      <c r="H15" s="255">
        <v>0</v>
      </c>
      <c r="I15" s="255">
        <f t="shared" si="1"/>
        <v>400000</v>
      </c>
      <c r="J15" s="552">
        <f t="shared" si="2"/>
        <v>100</v>
      </c>
      <c r="K15" s="597"/>
      <c r="L15" s="458"/>
      <c r="M15" s="598"/>
      <c r="N15" s="458"/>
      <c r="O15" s="458"/>
    </row>
    <row r="16" spans="1:19" s="298" customFormat="1" ht="23.25" customHeight="1" x14ac:dyDescent="0.2">
      <c r="A16" s="253" t="s">
        <v>84</v>
      </c>
      <c r="B16" s="254">
        <v>17</v>
      </c>
      <c r="C16" s="596">
        <f t="shared" si="3"/>
        <v>6.854838709677419</v>
      </c>
      <c r="D16" s="342">
        <v>363400</v>
      </c>
      <c r="E16" s="342">
        <v>284000</v>
      </c>
      <c r="F16" s="342">
        <v>270000</v>
      </c>
      <c r="G16" s="255">
        <v>439750</v>
      </c>
      <c r="H16" s="255">
        <v>0</v>
      </c>
      <c r="I16" s="255">
        <f t="shared" si="1"/>
        <v>439750</v>
      </c>
      <c r="J16" s="552">
        <f t="shared" si="2"/>
        <v>74.298293891029161</v>
      </c>
      <c r="K16" s="597"/>
      <c r="L16" s="458"/>
      <c r="M16" s="598"/>
      <c r="N16" s="458"/>
      <c r="O16" s="458"/>
    </row>
    <row r="17" spans="1:15" s="298" customFormat="1" ht="23.25" customHeight="1" x14ac:dyDescent="0.2">
      <c r="A17" s="253" t="s">
        <v>85</v>
      </c>
      <c r="B17" s="254">
        <v>5</v>
      </c>
      <c r="C17" s="596">
        <f t="shared" si="3"/>
        <v>2.0161290322580645</v>
      </c>
      <c r="D17" s="342">
        <v>181600</v>
      </c>
      <c r="E17" s="342">
        <v>148200</v>
      </c>
      <c r="F17" s="342">
        <v>144200</v>
      </c>
      <c r="G17" s="255">
        <v>160000</v>
      </c>
      <c r="H17" s="255">
        <v>1450</v>
      </c>
      <c r="I17" s="255">
        <f t="shared" si="1"/>
        <v>161450</v>
      </c>
      <c r="J17" s="552">
        <f t="shared" si="2"/>
        <v>79.405286343612332</v>
      </c>
      <c r="K17" s="597"/>
      <c r="L17" s="458"/>
      <c r="M17" s="598"/>
      <c r="N17" s="458"/>
      <c r="O17" s="458"/>
    </row>
    <row r="18" spans="1:15" s="298" customFormat="1" ht="23.25" customHeight="1" x14ac:dyDescent="0.2">
      <c r="A18" s="253" t="s">
        <v>86</v>
      </c>
      <c r="B18" s="254">
        <v>6</v>
      </c>
      <c r="C18" s="596">
        <f t="shared" si="3"/>
        <v>2.4193548387096775</v>
      </c>
      <c r="D18" s="342">
        <v>413600</v>
      </c>
      <c r="E18" s="342">
        <v>324280</v>
      </c>
      <c r="F18" s="342">
        <v>299220</v>
      </c>
      <c r="G18" s="255">
        <v>423276</v>
      </c>
      <c r="H18" s="255">
        <v>0</v>
      </c>
      <c r="I18" s="255">
        <f t="shared" si="1"/>
        <v>423276</v>
      </c>
      <c r="J18" s="552">
        <f t="shared" si="2"/>
        <v>72.345261121856865</v>
      </c>
      <c r="K18" s="597"/>
      <c r="L18" s="458"/>
      <c r="M18" s="598"/>
      <c r="N18" s="458"/>
      <c r="O18" s="458"/>
    </row>
    <row r="19" spans="1:15" s="298" customFormat="1" ht="23.25" customHeight="1" x14ac:dyDescent="0.2">
      <c r="A19" s="253" t="s">
        <v>87</v>
      </c>
      <c r="B19" s="254">
        <v>15</v>
      </c>
      <c r="C19" s="596">
        <f t="shared" si="3"/>
        <v>6.0483870967741939</v>
      </c>
      <c r="D19" s="342">
        <v>147400</v>
      </c>
      <c r="E19" s="342">
        <v>132660</v>
      </c>
      <c r="F19" s="342">
        <v>117920</v>
      </c>
      <c r="G19" s="255">
        <v>165825</v>
      </c>
      <c r="H19" s="255">
        <v>0</v>
      </c>
      <c r="I19" s="255">
        <f t="shared" si="1"/>
        <v>165825</v>
      </c>
      <c r="J19" s="552">
        <f t="shared" si="2"/>
        <v>80</v>
      </c>
      <c r="K19" s="597"/>
      <c r="L19" s="458"/>
      <c r="M19" s="598"/>
      <c r="N19" s="458"/>
      <c r="O19" s="458"/>
    </row>
    <row r="20" spans="1:15" s="298" customFormat="1" ht="23.25" customHeight="1" thickBot="1" x14ac:dyDescent="0.25">
      <c r="A20" s="256" t="s">
        <v>88</v>
      </c>
      <c r="B20" s="642">
        <v>10</v>
      </c>
      <c r="C20" s="596">
        <f t="shared" si="3"/>
        <v>4.032258064516129</v>
      </c>
      <c r="D20" s="578">
        <v>403200</v>
      </c>
      <c r="E20" s="578">
        <v>369613</v>
      </c>
      <c r="F20" s="578">
        <v>308378</v>
      </c>
      <c r="G20" s="251">
        <v>400891</v>
      </c>
      <c r="H20" s="251">
        <v>0</v>
      </c>
      <c r="I20" s="251">
        <f t="shared" si="1"/>
        <v>400891</v>
      </c>
      <c r="J20" s="552">
        <f t="shared" si="2"/>
        <v>76.482638888888886</v>
      </c>
      <c r="K20" s="597"/>
      <c r="L20" s="262"/>
      <c r="M20" s="598"/>
      <c r="N20" s="458"/>
      <c r="O20" s="458"/>
    </row>
    <row r="21" spans="1:15" s="246" customFormat="1" ht="23.25" customHeight="1" thickTop="1" thickBot="1" x14ac:dyDescent="0.25">
      <c r="A21" s="265" t="s">
        <v>313</v>
      </c>
      <c r="B21" s="266">
        <f t="shared" ref="B21:I21" si="4">SUM(B5:B20)</f>
        <v>248</v>
      </c>
      <c r="C21" s="377">
        <f t="shared" si="4"/>
        <v>100</v>
      </c>
      <c r="D21" s="267">
        <f t="shared" si="4"/>
        <v>11626956</v>
      </c>
      <c r="E21" s="267">
        <f t="shared" si="4"/>
        <v>10146374</v>
      </c>
      <c r="F21" s="267">
        <f t="shared" si="4"/>
        <v>9707765</v>
      </c>
      <c r="G21" s="267">
        <f t="shared" si="4"/>
        <v>11105115</v>
      </c>
      <c r="H21" s="267">
        <f t="shared" si="4"/>
        <v>10940</v>
      </c>
      <c r="I21" s="267">
        <f t="shared" si="4"/>
        <v>11116055</v>
      </c>
      <c r="J21" s="377">
        <f t="shared" si="2"/>
        <v>83.493607441190974</v>
      </c>
      <c r="K21" s="258"/>
      <c r="L21" s="257"/>
      <c r="M21" s="249"/>
      <c r="N21" s="248"/>
      <c r="O21" s="248"/>
    </row>
    <row r="22" spans="1:15" s="246" customFormat="1" ht="18.75" customHeight="1" thickTop="1" x14ac:dyDescent="0.2">
      <c r="A22" s="817" t="s">
        <v>326</v>
      </c>
      <c r="B22" s="817"/>
      <c r="C22" s="817"/>
      <c r="D22" s="817"/>
      <c r="E22" s="817"/>
      <c r="F22" s="817"/>
      <c r="G22" s="817"/>
      <c r="H22" s="378"/>
      <c r="I22" s="378"/>
      <c r="J22" s="412"/>
      <c r="K22" s="258"/>
      <c r="L22" s="257"/>
      <c r="M22" s="249"/>
      <c r="N22" s="248"/>
      <c r="O22" s="248"/>
    </row>
    <row r="23" spans="1:15" s="246" customFormat="1" ht="18.75" customHeight="1" x14ac:dyDescent="0.2">
      <c r="A23" s="815" t="s">
        <v>327</v>
      </c>
      <c r="B23" s="815"/>
      <c r="C23" s="815"/>
      <c r="D23" s="815"/>
      <c r="E23" s="815"/>
      <c r="F23" s="815"/>
      <c r="G23" s="815"/>
      <c r="H23" s="260"/>
      <c r="I23" s="260"/>
      <c r="J23" s="262"/>
      <c r="K23" s="257"/>
      <c r="L23" s="257"/>
      <c r="M23" s="249"/>
      <c r="N23" s="248"/>
      <c r="O23" s="248"/>
    </row>
    <row r="24" spans="1:15" s="246" customFormat="1" ht="15" customHeight="1" thickBot="1" x14ac:dyDescent="0.25">
      <c r="A24" s="816"/>
      <c r="B24" s="816"/>
      <c r="C24" s="816"/>
      <c r="D24" s="816"/>
      <c r="E24" s="816"/>
      <c r="F24" s="816"/>
      <c r="G24" s="816"/>
      <c r="H24" s="260"/>
      <c r="I24" s="260"/>
      <c r="J24" s="262"/>
      <c r="K24" s="257"/>
      <c r="L24" s="257"/>
      <c r="M24" s="249"/>
      <c r="N24" s="248"/>
      <c r="O24" s="248"/>
    </row>
    <row r="25" spans="1:15" ht="18.75" customHeight="1" x14ac:dyDescent="0.25">
      <c r="A25" s="811" t="s">
        <v>255</v>
      </c>
      <c r="B25" s="811"/>
      <c r="C25" s="811"/>
      <c r="D25" s="811"/>
      <c r="E25" s="263"/>
      <c r="F25" s="263"/>
      <c r="G25" s="263"/>
      <c r="H25" s="263"/>
      <c r="I25" s="263"/>
      <c r="J25" s="320">
        <v>22</v>
      </c>
      <c r="K25" s="14"/>
      <c r="L25" s="14"/>
      <c r="M25" s="14"/>
      <c r="N25" s="14"/>
      <c r="O25" s="14"/>
    </row>
  </sheetData>
  <mergeCells count="11">
    <mergeCell ref="G3:I3"/>
    <mergeCell ref="A25:D25"/>
    <mergeCell ref="K13:R13"/>
    <mergeCell ref="A1:J1"/>
    <mergeCell ref="A2:J2"/>
    <mergeCell ref="A3:A4"/>
    <mergeCell ref="B3:C3"/>
    <mergeCell ref="J3:J4"/>
    <mergeCell ref="A23:G23"/>
    <mergeCell ref="A24:G24"/>
    <mergeCell ref="A22:G22"/>
  </mergeCells>
  <printOptions horizontalCentered="1"/>
  <pageMargins left="0.31496062992125984" right="0.31496062992125984" top="0.51181102362204722" bottom="0.51181102362204722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6"/>
  <sheetViews>
    <sheetView rightToLeft="1" view="pageBreakPreview" zoomScale="90" zoomScaleSheetLayoutView="90" workbookViewId="0">
      <selection activeCell="J26" sqref="J26"/>
    </sheetView>
  </sheetViews>
  <sheetFormatPr defaultColWidth="10.42578125" defaultRowHeight="15" x14ac:dyDescent="0.25"/>
  <cols>
    <col min="1" max="1" width="11.85546875" customWidth="1"/>
    <col min="2" max="2" width="10.140625" customWidth="1"/>
    <col min="3" max="3" width="9.28515625" customWidth="1"/>
    <col min="4" max="10" width="15.7109375" customWidth="1"/>
  </cols>
  <sheetData>
    <row r="1" spans="1:18" ht="22.5" customHeight="1" x14ac:dyDescent="0.25">
      <c r="A1" s="813" t="s">
        <v>435</v>
      </c>
      <c r="B1" s="813"/>
      <c r="C1" s="813"/>
      <c r="D1" s="813"/>
      <c r="E1" s="813"/>
      <c r="F1" s="813"/>
      <c r="G1" s="813"/>
      <c r="H1" s="813"/>
      <c r="I1" s="813"/>
      <c r="J1" s="813"/>
    </row>
    <row r="2" spans="1:18" ht="22.5" customHeight="1" thickBot="1" x14ac:dyDescent="0.3">
      <c r="A2" s="814" t="s">
        <v>473</v>
      </c>
      <c r="B2" s="814"/>
      <c r="C2" s="814"/>
      <c r="D2" s="814"/>
      <c r="E2" s="814"/>
      <c r="F2" s="814"/>
      <c r="G2" s="814"/>
      <c r="H2" s="814"/>
      <c r="I2" s="814"/>
      <c r="J2" s="814"/>
    </row>
    <row r="3" spans="1:18" ht="29.25" customHeight="1" thickTop="1" x14ac:dyDescent="0.25">
      <c r="A3" s="788" t="s">
        <v>75</v>
      </c>
      <c r="B3" s="793" t="s">
        <v>256</v>
      </c>
      <c r="C3" s="793"/>
      <c r="D3" s="425" t="s">
        <v>283</v>
      </c>
      <c r="E3" s="425" t="s">
        <v>346</v>
      </c>
      <c r="F3" s="425" t="s">
        <v>347</v>
      </c>
      <c r="G3" s="793" t="s">
        <v>356</v>
      </c>
      <c r="H3" s="793"/>
      <c r="I3" s="793"/>
      <c r="J3" s="788" t="s">
        <v>252</v>
      </c>
    </row>
    <row r="4" spans="1:18" ht="25.5" customHeight="1" x14ac:dyDescent="0.25">
      <c r="A4" s="795"/>
      <c r="B4" s="269" t="s">
        <v>282</v>
      </c>
      <c r="C4" s="269" t="s">
        <v>254</v>
      </c>
      <c r="D4" s="314" t="s">
        <v>284</v>
      </c>
      <c r="E4" s="314" t="s">
        <v>284</v>
      </c>
      <c r="F4" s="314" t="s">
        <v>284</v>
      </c>
      <c r="G4" s="264" t="s">
        <v>285</v>
      </c>
      <c r="H4" s="264" t="s">
        <v>286</v>
      </c>
      <c r="I4" s="264" t="s">
        <v>26</v>
      </c>
      <c r="J4" s="795"/>
    </row>
    <row r="5" spans="1:18" s="19" customFormat="1" ht="22.5" customHeight="1" x14ac:dyDescent="0.25">
      <c r="A5" s="628" t="s">
        <v>76</v>
      </c>
      <c r="B5" s="255">
        <v>95</v>
      </c>
      <c r="C5" s="599">
        <f>B5/3610*100</f>
        <v>2.6315789473684208</v>
      </c>
      <c r="D5" s="342">
        <v>218650</v>
      </c>
      <c r="E5" s="342">
        <v>196785</v>
      </c>
      <c r="F5" s="342">
        <v>169880</v>
      </c>
      <c r="G5" s="255">
        <v>218650</v>
      </c>
      <c r="H5" s="255">
        <v>8975</v>
      </c>
      <c r="I5" s="255">
        <f t="shared" ref="I5:I20" si="0">SUM(G5:H5)</f>
        <v>227625</v>
      </c>
      <c r="J5" s="574">
        <f>F5/D5*100</f>
        <v>77.694946261147962</v>
      </c>
    </row>
    <row r="6" spans="1:18" s="299" customFormat="1" ht="22.5" customHeight="1" x14ac:dyDescent="0.25">
      <c r="A6" s="628" t="s">
        <v>77</v>
      </c>
      <c r="B6" s="456">
        <v>92</v>
      </c>
      <c r="C6" s="599">
        <f t="shared" ref="C6:C20" si="1">B6/3610*100</f>
        <v>2.5484764542936289</v>
      </c>
      <c r="D6" s="631">
        <v>346478</v>
      </c>
      <c r="E6" s="631">
        <v>232245</v>
      </c>
      <c r="F6" s="631">
        <v>100533</v>
      </c>
      <c r="G6" s="456">
        <v>110586</v>
      </c>
      <c r="H6" s="456">
        <v>0</v>
      </c>
      <c r="I6" s="456">
        <f t="shared" si="0"/>
        <v>110586</v>
      </c>
      <c r="J6" s="574">
        <f t="shared" ref="J6:J21" si="2">F6/D6*100</f>
        <v>29.015695080207109</v>
      </c>
      <c r="K6" s="629"/>
      <c r="L6" s="629"/>
      <c r="M6" s="629"/>
      <c r="N6" s="629"/>
      <c r="O6" s="630"/>
      <c r="P6" s="621"/>
      <c r="Q6" s="621"/>
      <c r="R6" s="621"/>
    </row>
    <row r="7" spans="1:18" s="299" customFormat="1" ht="22.5" customHeight="1" x14ac:dyDescent="0.2">
      <c r="A7" s="253" t="s">
        <v>78</v>
      </c>
      <c r="B7" s="255">
        <v>190</v>
      </c>
      <c r="C7" s="599">
        <f t="shared" si="1"/>
        <v>5.2631578947368416</v>
      </c>
      <c r="D7" s="342">
        <v>108294</v>
      </c>
      <c r="E7" s="342">
        <v>86635</v>
      </c>
      <c r="F7" s="342">
        <v>86635</v>
      </c>
      <c r="G7" s="255">
        <v>108294</v>
      </c>
      <c r="H7" s="255">
        <v>0</v>
      </c>
      <c r="I7" s="255">
        <f t="shared" si="0"/>
        <v>108294</v>
      </c>
      <c r="J7" s="574">
        <f t="shared" si="2"/>
        <v>79.999815317561456</v>
      </c>
      <c r="K7" s="458"/>
      <c r="L7" s="598"/>
      <c r="M7" s="459"/>
      <c r="N7" s="459"/>
      <c r="O7" s="600"/>
      <c r="P7" s="600"/>
      <c r="Q7" s="600"/>
    </row>
    <row r="8" spans="1:18" s="299" customFormat="1" ht="22.5" customHeight="1" x14ac:dyDescent="0.2">
      <c r="A8" s="253" t="s">
        <v>336</v>
      </c>
      <c r="B8" s="255">
        <v>493</v>
      </c>
      <c r="C8" s="599">
        <f t="shared" si="1"/>
        <v>13.656509695290858</v>
      </c>
      <c r="D8" s="342">
        <v>463200</v>
      </c>
      <c r="E8" s="342">
        <v>347400</v>
      </c>
      <c r="F8" s="342">
        <v>277920</v>
      </c>
      <c r="G8" s="255">
        <v>555840</v>
      </c>
      <c r="H8" s="255">
        <v>0</v>
      </c>
      <c r="I8" s="255">
        <f t="shared" si="0"/>
        <v>555840</v>
      </c>
      <c r="J8" s="574">
        <f t="shared" si="2"/>
        <v>60</v>
      </c>
      <c r="K8" s="458"/>
      <c r="L8" s="598"/>
      <c r="M8" s="459"/>
      <c r="N8" s="459"/>
      <c r="O8" s="600"/>
      <c r="P8" s="600"/>
      <c r="Q8" s="600"/>
    </row>
    <row r="9" spans="1:18" s="299" customFormat="1" ht="22.5" customHeight="1" x14ac:dyDescent="0.2">
      <c r="A9" s="253" t="s">
        <v>89</v>
      </c>
      <c r="B9" s="255">
        <v>104</v>
      </c>
      <c r="C9" s="599">
        <f t="shared" si="1"/>
        <v>2.8808864265927978</v>
      </c>
      <c r="D9" s="342">
        <v>286200</v>
      </c>
      <c r="E9" s="342">
        <v>230000</v>
      </c>
      <c r="F9" s="342">
        <v>199612</v>
      </c>
      <c r="G9" s="255">
        <v>250000</v>
      </c>
      <c r="H9" s="255">
        <v>0</v>
      </c>
      <c r="I9" s="255">
        <f t="shared" si="0"/>
        <v>250000</v>
      </c>
      <c r="J9" s="574">
        <f t="shared" si="2"/>
        <v>69.745632424877712</v>
      </c>
      <c r="K9" s="458"/>
      <c r="L9" s="598"/>
      <c r="M9" s="458"/>
      <c r="N9" s="458"/>
    </row>
    <row r="10" spans="1:18" s="299" customFormat="1" ht="22.5" customHeight="1" x14ac:dyDescent="0.2">
      <c r="A10" s="253" t="s">
        <v>80</v>
      </c>
      <c r="B10" s="255">
        <v>250</v>
      </c>
      <c r="C10" s="599">
        <f t="shared" si="1"/>
        <v>6.9252077562326875</v>
      </c>
      <c r="D10" s="342">
        <v>534942</v>
      </c>
      <c r="E10" s="342">
        <v>114424</v>
      </c>
      <c r="F10" s="342">
        <v>114424</v>
      </c>
      <c r="G10" s="255">
        <v>125866</v>
      </c>
      <c r="H10" s="255">
        <v>0</v>
      </c>
      <c r="I10" s="255">
        <f t="shared" si="0"/>
        <v>125866</v>
      </c>
      <c r="J10" s="574">
        <f t="shared" si="2"/>
        <v>21.389982465388773</v>
      </c>
      <c r="K10" s="458"/>
      <c r="L10" s="598"/>
      <c r="M10" s="458"/>
      <c r="N10" s="458"/>
    </row>
    <row r="11" spans="1:18" s="299" customFormat="1" ht="22.5" customHeight="1" x14ac:dyDescent="0.2">
      <c r="A11" s="253" t="s">
        <v>82</v>
      </c>
      <c r="B11" s="255">
        <v>302</v>
      </c>
      <c r="C11" s="599">
        <f t="shared" si="1"/>
        <v>8.365650969529085</v>
      </c>
      <c r="D11" s="342">
        <v>510408</v>
      </c>
      <c r="E11" s="342">
        <v>484888</v>
      </c>
      <c r="F11" s="342">
        <v>433847</v>
      </c>
      <c r="G11" s="342">
        <v>561449</v>
      </c>
      <c r="H11" s="342">
        <v>0</v>
      </c>
      <c r="I11" s="255">
        <f t="shared" si="0"/>
        <v>561449</v>
      </c>
      <c r="J11" s="574">
        <f t="shared" si="2"/>
        <v>85.000039184338803</v>
      </c>
      <c r="K11" s="458"/>
      <c r="L11" s="598"/>
      <c r="M11" s="458"/>
      <c r="N11" s="458"/>
    </row>
    <row r="12" spans="1:18" s="299" customFormat="1" ht="22.5" customHeight="1" x14ac:dyDescent="0.2">
      <c r="A12" s="253" t="s">
        <v>74</v>
      </c>
      <c r="B12" s="255">
        <v>106</v>
      </c>
      <c r="C12" s="599">
        <f t="shared" si="1"/>
        <v>2.9362880886426592</v>
      </c>
      <c r="D12" s="342">
        <v>108288</v>
      </c>
      <c r="E12" s="342">
        <v>97459</v>
      </c>
      <c r="F12" s="342">
        <v>92044</v>
      </c>
      <c r="G12" s="255">
        <v>119116</v>
      </c>
      <c r="H12" s="255">
        <v>0</v>
      </c>
      <c r="I12" s="251">
        <f t="shared" si="0"/>
        <v>119116</v>
      </c>
      <c r="J12" s="574">
        <f t="shared" si="2"/>
        <v>84.999261229314413</v>
      </c>
      <c r="K12" s="458"/>
      <c r="L12" s="598"/>
      <c r="M12" s="458"/>
      <c r="N12" s="458"/>
    </row>
    <row r="13" spans="1:18" s="298" customFormat="1" ht="22.5" customHeight="1" x14ac:dyDescent="0.2">
      <c r="A13" s="253" t="s">
        <v>81</v>
      </c>
      <c r="B13" s="251">
        <v>261</v>
      </c>
      <c r="C13" s="599">
        <f t="shared" si="1"/>
        <v>7.2299168975069259</v>
      </c>
      <c r="D13" s="342">
        <v>760000</v>
      </c>
      <c r="E13" s="342">
        <v>636000</v>
      </c>
      <c r="F13" s="342">
        <v>480000</v>
      </c>
      <c r="G13" s="251">
        <v>504000</v>
      </c>
      <c r="H13" s="251">
        <v>0</v>
      </c>
      <c r="I13" s="255">
        <f t="shared" si="0"/>
        <v>504000</v>
      </c>
      <c r="J13" s="574">
        <f t="shared" si="2"/>
        <v>63.157894736842103</v>
      </c>
      <c r="K13" s="458"/>
      <c r="L13" s="598"/>
      <c r="M13" s="458"/>
      <c r="N13" s="458"/>
    </row>
    <row r="14" spans="1:18" s="298" customFormat="1" ht="22.5" customHeight="1" x14ac:dyDescent="0.2">
      <c r="A14" s="253" t="s">
        <v>79</v>
      </c>
      <c r="B14" s="255">
        <v>266</v>
      </c>
      <c r="C14" s="599">
        <f t="shared" si="1"/>
        <v>7.3684210526315779</v>
      </c>
      <c r="D14" s="342">
        <v>770880</v>
      </c>
      <c r="E14" s="342">
        <v>689664</v>
      </c>
      <c r="F14" s="342">
        <v>227272</v>
      </c>
      <c r="G14" s="255">
        <v>409090</v>
      </c>
      <c r="H14" s="255">
        <v>0</v>
      </c>
      <c r="I14" s="255">
        <f t="shared" si="0"/>
        <v>409090</v>
      </c>
      <c r="J14" s="574">
        <f t="shared" si="2"/>
        <v>29.482150269821506</v>
      </c>
      <c r="K14" s="458"/>
      <c r="L14" s="598"/>
      <c r="M14" s="458"/>
      <c r="N14" s="458"/>
    </row>
    <row r="15" spans="1:18" s="298" customFormat="1" ht="22.5" customHeight="1" x14ac:dyDescent="0.2">
      <c r="A15" s="253" t="s">
        <v>83</v>
      </c>
      <c r="B15" s="255">
        <v>110</v>
      </c>
      <c r="C15" s="599">
        <f t="shared" si="1"/>
        <v>3.0470914127423825</v>
      </c>
      <c r="D15" s="342">
        <v>328100</v>
      </c>
      <c r="E15" s="342">
        <v>328100</v>
      </c>
      <c r="F15" s="342">
        <v>398770</v>
      </c>
      <c r="G15" s="255">
        <v>418200</v>
      </c>
      <c r="H15" s="255">
        <v>0</v>
      </c>
      <c r="I15" s="255">
        <f t="shared" si="0"/>
        <v>418200</v>
      </c>
      <c r="J15" s="574">
        <f t="shared" si="2"/>
        <v>121.53916488875342</v>
      </c>
      <c r="K15" s="458"/>
      <c r="L15" s="598"/>
      <c r="M15" s="458"/>
      <c r="N15" s="458"/>
    </row>
    <row r="16" spans="1:18" s="298" customFormat="1" ht="22.5" customHeight="1" x14ac:dyDescent="0.2">
      <c r="A16" s="253" t="s">
        <v>84</v>
      </c>
      <c r="B16" s="255">
        <v>310</v>
      </c>
      <c r="C16" s="599">
        <f t="shared" si="1"/>
        <v>8.5872576177285325</v>
      </c>
      <c r="D16" s="342">
        <v>179600</v>
      </c>
      <c r="E16" s="342">
        <v>145000</v>
      </c>
      <c r="F16" s="342">
        <v>132000</v>
      </c>
      <c r="G16" s="255">
        <v>215520</v>
      </c>
      <c r="H16" s="255">
        <v>0</v>
      </c>
      <c r="I16" s="255">
        <f t="shared" si="0"/>
        <v>215520</v>
      </c>
      <c r="J16" s="574">
        <f t="shared" si="2"/>
        <v>73.496659242761694</v>
      </c>
      <c r="K16" s="458"/>
      <c r="L16" s="598"/>
      <c r="M16" s="458"/>
      <c r="N16" s="458"/>
    </row>
    <row r="17" spans="1:14" s="298" customFormat="1" ht="22.5" customHeight="1" x14ac:dyDescent="0.2">
      <c r="A17" s="253" t="s">
        <v>85</v>
      </c>
      <c r="B17" s="255">
        <v>108</v>
      </c>
      <c r="C17" s="599">
        <f t="shared" si="1"/>
        <v>2.9916897506925206</v>
      </c>
      <c r="D17" s="342">
        <v>122288</v>
      </c>
      <c r="E17" s="342">
        <v>101904</v>
      </c>
      <c r="F17" s="342">
        <v>95910</v>
      </c>
      <c r="G17" s="255">
        <v>130000</v>
      </c>
      <c r="H17" s="255">
        <v>0</v>
      </c>
      <c r="I17" s="255">
        <f t="shared" si="0"/>
        <v>130000</v>
      </c>
      <c r="J17" s="574">
        <f t="shared" si="2"/>
        <v>78.429608792359019</v>
      </c>
      <c r="K17" s="458"/>
      <c r="L17" s="598"/>
      <c r="M17" s="458"/>
      <c r="N17" s="458"/>
    </row>
    <row r="18" spans="1:14" s="298" customFormat="1" ht="22.5" customHeight="1" x14ac:dyDescent="0.2">
      <c r="A18" s="253" t="s">
        <v>86</v>
      </c>
      <c r="B18" s="255">
        <v>228</v>
      </c>
      <c r="C18" s="599">
        <f t="shared" si="1"/>
        <v>6.3157894736842106</v>
      </c>
      <c r="D18" s="342">
        <v>595936</v>
      </c>
      <c r="E18" s="342">
        <v>489060</v>
      </c>
      <c r="F18" s="342">
        <v>364380</v>
      </c>
      <c r="G18" s="255">
        <v>477612</v>
      </c>
      <c r="H18" s="255">
        <v>0</v>
      </c>
      <c r="I18" s="255">
        <f t="shared" si="0"/>
        <v>477612</v>
      </c>
      <c r="J18" s="574">
        <f t="shared" si="2"/>
        <v>61.144149707351126</v>
      </c>
      <c r="K18" s="458"/>
      <c r="L18" s="598"/>
      <c r="M18" s="458"/>
      <c r="N18" s="458"/>
    </row>
    <row r="19" spans="1:14" s="298" customFormat="1" ht="22.5" customHeight="1" x14ac:dyDescent="0.2">
      <c r="A19" s="253" t="s">
        <v>87</v>
      </c>
      <c r="B19" s="255">
        <v>358</v>
      </c>
      <c r="C19" s="599">
        <f t="shared" si="1"/>
        <v>9.9168975069252081</v>
      </c>
      <c r="D19" s="342">
        <v>591500</v>
      </c>
      <c r="E19" s="342">
        <v>532350</v>
      </c>
      <c r="F19" s="342">
        <v>502775</v>
      </c>
      <c r="G19" s="255">
        <v>600000</v>
      </c>
      <c r="H19" s="255">
        <v>0</v>
      </c>
      <c r="I19" s="255">
        <f t="shared" si="0"/>
        <v>600000</v>
      </c>
      <c r="J19" s="574">
        <f t="shared" si="2"/>
        <v>85</v>
      </c>
      <c r="K19" s="458"/>
      <c r="L19" s="598"/>
      <c r="M19" s="458"/>
      <c r="N19" s="458"/>
    </row>
    <row r="20" spans="1:14" s="298" customFormat="1" ht="22.5" customHeight="1" thickBot="1" x14ac:dyDescent="0.25">
      <c r="A20" s="256" t="s">
        <v>88</v>
      </c>
      <c r="B20" s="251">
        <v>337</v>
      </c>
      <c r="C20" s="599">
        <f t="shared" si="1"/>
        <v>9.3351800554016631</v>
      </c>
      <c r="D20" s="578">
        <v>1954800</v>
      </c>
      <c r="E20" s="578">
        <v>1791965</v>
      </c>
      <c r="F20" s="578">
        <v>1258945</v>
      </c>
      <c r="G20" s="251">
        <v>1636640</v>
      </c>
      <c r="H20" s="251">
        <v>0</v>
      </c>
      <c r="I20" s="251">
        <f t="shared" si="0"/>
        <v>1636640</v>
      </c>
      <c r="J20" s="574">
        <f t="shared" si="2"/>
        <v>64.402752199713532</v>
      </c>
      <c r="K20" s="262"/>
      <c r="L20" s="598"/>
      <c r="M20" s="458"/>
      <c r="N20" s="458"/>
    </row>
    <row r="21" spans="1:14" s="246" customFormat="1" ht="22.5" customHeight="1" thickTop="1" thickBot="1" x14ac:dyDescent="0.25">
      <c r="A21" s="265" t="s">
        <v>313</v>
      </c>
      <c r="B21" s="268">
        <f t="shared" ref="B21:I21" si="3">SUM(B5:B20)</f>
        <v>3610</v>
      </c>
      <c r="C21" s="377">
        <f t="shared" si="3"/>
        <v>99.999999999999986</v>
      </c>
      <c r="D21" s="268">
        <f t="shared" si="3"/>
        <v>7879564</v>
      </c>
      <c r="E21" s="268">
        <f t="shared" si="3"/>
        <v>6503879</v>
      </c>
      <c r="F21" s="268">
        <f t="shared" si="3"/>
        <v>4934947</v>
      </c>
      <c r="G21" s="268">
        <f t="shared" si="3"/>
        <v>6440863</v>
      </c>
      <c r="H21" s="268">
        <f t="shared" si="3"/>
        <v>8975</v>
      </c>
      <c r="I21" s="268">
        <f t="shared" si="3"/>
        <v>6449838</v>
      </c>
      <c r="J21" s="377">
        <f t="shared" si="2"/>
        <v>62.629696262382026</v>
      </c>
      <c r="K21" s="257"/>
      <c r="L21" s="249"/>
      <c r="M21" s="248"/>
      <c r="N21" s="248"/>
    </row>
    <row r="22" spans="1:14" s="246" customFormat="1" ht="18" customHeight="1" thickTop="1" x14ac:dyDescent="0.2">
      <c r="A22" s="817" t="s">
        <v>326</v>
      </c>
      <c r="B22" s="817"/>
      <c r="C22" s="817"/>
      <c r="D22" s="817"/>
      <c r="E22" s="817"/>
      <c r="F22" s="817"/>
      <c r="G22" s="817"/>
      <c r="H22" s="817"/>
      <c r="I22" s="466"/>
      <c r="J22" s="466"/>
      <c r="K22" s="257"/>
      <c r="L22" s="249"/>
      <c r="M22" s="248"/>
      <c r="N22" s="248"/>
    </row>
    <row r="23" spans="1:14" s="246" customFormat="1" ht="18" customHeight="1" x14ac:dyDescent="0.2">
      <c r="A23" s="815" t="s">
        <v>327</v>
      </c>
      <c r="B23" s="815"/>
      <c r="C23" s="815"/>
      <c r="D23" s="815"/>
      <c r="E23" s="815"/>
      <c r="F23" s="815"/>
      <c r="G23" s="815"/>
      <c r="H23" s="815"/>
      <c r="I23" s="815"/>
      <c r="J23" s="815"/>
      <c r="K23" s="257"/>
      <c r="L23" s="249"/>
      <c r="M23" s="248"/>
      <c r="N23" s="248"/>
    </row>
    <row r="24" spans="1:14" s="246" customFormat="1" ht="18" customHeight="1" x14ac:dyDescent="0.2">
      <c r="A24" s="718"/>
      <c r="B24" s="718"/>
      <c r="C24" s="718"/>
      <c r="D24" s="718"/>
      <c r="E24" s="718"/>
      <c r="F24" s="718"/>
      <c r="G24" s="718"/>
      <c r="H24" s="718"/>
      <c r="I24" s="718"/>
      <c r="J24" s="718"/>
      <c r="K24" s="257"/>
      <c r="L24" s="249"/>
      <c r="M24" s="248"/>
      <c r="N24" s="248"/>
    </row>
    <row r="25" spans="1:14" s="246" customFormat="1" ht="11.25" customHeight="1" thickBot="1" x14ac:dyDescent="0.25">
      <c r="A25" s="816"/>
      <c r="B25" s="816"/>
      <c r="C25" s="816"/>
      <c r="D25" s="816"/>
      <c r="E25" s="816"/>
      <c r="F25" s="816"/>
      <c r="G25" s="816"/>
      <c r="H25" s="260"/>
      <c r="I25" s="262"/>
      <c r="J25" s="257"/>
      <c r="K25" s="257"/>
      <c r="L25" s="249"/>
      <c r="M25" s="248"/>
      <c r="N25" s="248"/>
    </row>
    <row r="26" spans="1:14" ht="18" customHeight="1" x14ac:dyDescent="0.25">
      <c r="A26" s="811" t="s">
        <v>255</v>
      </c>
      <c r="B26" s="811"/>
      <c r="C26" s="811"/>
      <c r="D26" s="811"/>
      <c r="E26" s="811"/>
      <c r="F26" s="811"/>
      <c r="G26" s="811"/>
      <c r="H26" s="811"/>
      <c r="I26" s="263"/>
      <c r="J26" s="320">
        <v>23</v>
      </c>
      <c r="K26" s="14"/>
      <c r="L26" s="14"/>
      <c r="M26" s="14"/>
      <c r="N26" s="14"/>
    </row>
  </sheetData>
  <mergeCells count="10">
    <mergeCell ref="A26:H26"/>
    <mergeCell ref="A1:J1"/>
    <mergeCell ref="A2:J2"/>
    <mergeCell ref="A3:A4"/>
    <mergeCell ref="B3:C3"/>
    <mergeCell ref="G3:I3"/>
    <mergeCell ref="J3:J4"/>
    <mergeCell ref="A25:G25"/>
    <mergeCell ref="A23:J23"/>
    <mergeCell ref="A22:H22"/>
  </mergeCells>
  <printOptions horizontalCentered="1"/>
  <pageMargins left="0.51181102362204722" right="0.51181102362204722" top="0.51181102362204722" bottom="0.5118110236220472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30</vt:i4>
      </vt:variant>
      <vt:variant>
        <vt:lpstr>نطاقات تمت تسميتها</vt:lpstr>
      </vt:variant>
      <vt:variant>
        <vt:i4>28</vt:i4>
      </vt:variant>
    </vt:vector>
  </HeadingPairs>
  <TitlesOfParts>
    <vt:vector size="5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ورقة1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'27'!Print_Area</vt:lpstr>
      <vt:lpstr>'28'!Print_Area</vt:lpstr>
      <vt:lpstr>'29'!Print_Area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laheeb</dc:creator>
  <cp:lastModifiedBy>it</cp:lastModifiedBy>
  <cp:lastPrinted>2020-12-28T06:34:52Z</cp:lastPrinted>
  <dcterms:created xsi:type="dcterms:W3CDTF">2013-05-13T09:11:50Z</dcterms:created>
  <dcterms:modified xsi:type="dcterms:W3CDTF">2020-12-28T07:13:45Z</dcterms:modified>
</cp:coreProperties>
</file>